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ka\Documents\Rozpočet a dotace\2023\"/>
    </mc:Choice>
  </mc:AlternateContent>
  <xr:revisionPtr revIDLastSave="0" documentId="13_ncr:1_{CCFBF4E2-D55D-4013-BB58-9C7321383F20}" xr6:coauthVersionLast="47" xr6:coauthVersionMax="47" xr10:uidLastSave="{00000000-0000-0000-0000-000000000000}"/>
  <bookViews>
    <workbookView xWindow="-108" yWindow="-108" windowWidth="23256" windowHeight="12576" xr2:uid="{D5796EFC-DFA0-4608-80DD-E058805916F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3" i="1" l="1"/>
  <c r="AC133" i="1"/>
  <c r="AD469" i="1"/>
  <c r="AD455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C350" i="1" l="1"/>
  <c r="AC349" i="1"/>
  <c r="AC348" i="1"/>
  <c r="AC346" i="1"/>
  <c r="AC255" i="1"/>
  <c r="AC253" i="1"/>
  <c r="AC242" i="1"/>
  <c r="AC247" i="1"/>
  <c r="AB167" i="1"/>
  <c r="AC104" i="1"/>
  <c r="AC103" i="1"/>
  <c r="AC102" i="1"/>
  <c r="AC19" i="1"/>
  <c r="AC23" i="1"/>
  <c r="Z443" i="1"/>
  <c r="Z445" i="1" s="1"/>
  <c r="Z388" i="1"/>
  <c r="Z394" i="1" s="1"/>
  <c r="AB449" i="1"/>
  <c r="AC450" i="1"/>
  <c r="Z448" i="1"/>
  <c r="AB448" i="1" s="1"/>
  <c r="AA291" i="1"/>
  <c r="AA288" i="1"/>
  <c r="AB288" i="1" s="1"/>
  <c r="AA389" i="1"/>
  <c r="AA388" i="1"/>
  <c r="AA23" i="1"/>
  <c r="AB23" i="1" s="1"/>
  <c r="Y388" i="1"/>
  <c r="AB260" i="1"/>
  <c r="AB137" i="1"/>
  <c r="AB444" i="1"/>
  <c r="AB442" i="1"/>
  <c r="AB441" i="1"/>
  <c r="AB440" i="1"/>
  <c r="AB433" i="1"/>
  <c r="AB429" i="1"/>
  <c r="AB428" i="1"/>
  <c r="AB427" i="1"/>
  <c r="AB423" i="1"/>
  <c r="AB422" i="1"/>
  <c r="AB418" i="1"/>
  <c r="AB412" i="1"/>
  <c r="AB407" i="1"/>
  <c r="AB406" i="1"/>
  <c r="AB402" i="1"/>
  <c r="AB401" i="1"/>
  <c r="AB403" i="1" s="1"/>
  <c r="AB392" i="1"/>
  <c r="AB391" i="1"/>
  <c r="AB390" i="1"/>
  <c r="AB389" i="1"/>
  <c r="AB387" i="1"/>
  <c r="AB386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39" i="1"/>
  <c r="AB337" i="1"/>
  <c r="AB336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5" i="1"/>
  <c r="AB314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7" i="1"/>
  <c r="AB286" i="1"/>
  <c r="AB283" i="1"/>
  <c r="AB284" i="1" s="1"/>
  <c r="AB280" i="1"/>
  <c r="AB279" i="1"/>
  <c r="AB278" i="1"/>
  <c r="AB277" i="1"/>
  <c r="AB276" i="1"/>
  <c r="AB275" i="1"/>
  <c r="AB274" i="1"/>
  <c r="AB273" i="1"/>
  <c r="AB268" i="1"/>
  <c r="AB267" i="1"/>
  <c r="AB266" i="1"/>
  <c r="AB265" i="1"/>
  <c r="AB264" i="1"/>
  <c r="AB263" i="1"/>
  <c r="AB262" i="1"/>
  <c r="AB261" i="1"/>
  <c r="AB259" i="1"/>
  <c r="AB258" i="1"/>
  <c r="AB257" i="1"/>
  <c r="AB256" i="1"/>
  <c r="AB255" i="1"/>
  <c r="AB254" i="1"/>
  <c r="AB253" i="1"/>
  <c r="AB248" i="1"/>
  <c r="AB249" i="1" s="1"/>
  <c r="AB247" i="1"/>
  <c r="AB246" i="1"/>
  <c r="AB244" i="1"/>
  <c r="AB241" i="1"/>
  <c r="AB240" i="1"/>
  <c r="AB239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14" i="1"/>
  <c r="AB213" i="1"/>
  <c r="AB215" i="1" s="1"/>
  <c r="AB212" i="1"/>
  <c r="AB210" i="1"/>
  <c r="AB209" i="1"/>
  <c r="AB208" i="1"/>
  <c r="AB207" i="1"/>
  <c r="AB205" i="1"/>
  <c r="AB204" i="1"/>
  <c r="AB203" i="1"/>
  <c r="AB202" i="1"/>
  <c r="AB201" i="1"/>
  <c r="AB200" i="1"/>
  <c r="AB199" i="1"/>
  <c r="AB198" i="1"/>
  <c r="AB197" i="1"/>
  <c r="AB196" i="1"/>
  <c r="AB195" i="1"/>
  <c r="AB190" i="1"/>
  <c r="AB189" i="1"/>
  <c r="AB188" i="1"/>
  <c r="AB187" i="1"/>
  <c r="AB186" i="1"/>
  <c r="AB185" i="1"/>
  <c r="AB184" i="1"/>
  <c r="AB183" i="1"/>
  <c r="AB182" i="1"/>
  <c r="AB181" i="1"/>
  <c r="AB180" i="1"/>
  <c r="AB178" i="1"/>
  <c r="AB177" i="1"/>
  <c r="AB176" i="1"/>
  <c r="AB175" i="1"/>
  <c r="AB174" i="1"/>
  <c r="AB173" i="1"/>
  <c r="AB172" i="1"/>
  <c r="AB171" i="1"/>
  <c r="AB170" i="1"/>
  <c r="AB169" i="1"/>
  <c r="AB168" i="1"/>
  <c r="AB166" i="1"/>
  <c r="AB165" i="1"/>
  <c r="AB164" i="1"/>
  <c r="AB163" i="1"/>
  <c r="AB162" i="1"/>
  <c r="AB161" i="1"/>
  <c r="AB160" i="1"/>
  <c r="AB159" i="1"/>
  <c r="AB158" i="1"/>
  <c r="AB154" i="1"/>
  <c r="AB153" i="1"/>
  <c r="AB150" i="1"/>
  <c r="AB149" i="1"/>
  <c r="AB148" i="1"/>
  <c r="AB147" i="1"/>
  <c r="AB146" i="1"/>
  <c r="AB145" i="1"/>
  <c r="AB139" i="1"/>
  <c r="AB138" i="1"/>
  <c r="AB136" i="1"/>
  <c r="AB134" i="1"/>
  <c r="AB132" i="1"/>
  <c r="AB130" i="1"/>
  <c r="AB129" i="1"/>
  <c r="AB128" i="1"/>
  <c r="AB127" i="1"/>
  <c r="AB126" i="1"/>
  <c r="AB125" i="1"/>
  <c r="AB124" i="1"/>
  <c r="AB122" i="1"/>
  <c r="AB121" i="1"/>
  <c r="AB120" i="1"/>
  <c r="AB119" i="1"/>
  <c r="AB118" i="1"/>
  <c r="AB117" i="1"/>
  <c r="AB116" i="1"/>
  <c r="AB115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6" i="1"/>
  <c r="AB95" i="1"/>
  <c r="AB94" i="1"/>
  <c r="AB93" i="1"/>
  <c r="AB85" i="1"/>
  <c r="AB84" i="1"/>
  <c r="AB83" i="1"/>
  <c r="AB82" i="1"/>
  <c r="AB81" i="1"/>
  <c r="AB80" i="1"/>
  <c r="AB78" i="1"/>
  <c r="AB77" i="1"/>
  <c r="AB75" i="1"/>
  <c r="AB74" i="1"/>
  <c r="AB73" i="1"/>
  <c r="AB72" i="1"/>
  <c r="AB71" i="1"/>
  <c r="AB70" i="1"/>
  <c r="AB69" i="1"/>
  <c r="AB68" i="1"/>
  <c r="AB67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47" i="1"/>
  <c r="AB46" i="1"/>
  <c r="AB45" i="1"/>
  <c r="AB44" i="1"/>
  <c r="AB43" i="1"/>
  <c r="AB42" i="1"/>
  <c r="AB41" i="1"/>
  <c r="AB40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2" i="1"/>
  <c r="AB21" i="1"/>
  <c r="AB20" i="1"/>
  <c r="AB19" i="1"/>
  <c r="AB18" i="1"/>
  <c r="AB17" i="1"/>
  <c r="AB16" i="1"/>
  <c r="AB14" i="1"/>
  <c r="AB10" i="1"/>
  <c r="AB9" i="1"/>
  <c r="AB8" i="1"/>
  <c r="AC445" i="1"/>
  <c r="AC434" i="1"/>
  <c r="AB434" i="1"/>
  <c r="AC430" i="1"/>
  <c r="AC424" i="1"/>
  <c r="AC419" i="1"/>
  <c r="AC414" i="1"/>
  <c r="AB414" i="1"/>
  <c r="AC408" i="1"/>
  <c r="AC403" i="1"/>
  <c r="AC394" i="1"/>
  <c r="AC382" i="1"/>
  <c r="AC341" i="1"/>
  <c r="AC383" i="1" s="1"/>
  <c r="AC333" i="1"/>
  <c r="AC316" i="1"/>
  <c r="AC284" i="1"/>
  <c r="AC281" i="1"/>
  <c r="AC249" i="1"/>
  <c r="AC236" i="1"/>
  <c r="AC215" i="1"/>
  <c r="AC211" i="1"/>
  <c r="AC206" i="1"/>
  <c r="AC192" i="1"/>
  <c r="AC191" i="1"/>
  <c r="AC155" i="1"/>
  <c r="AC141" i="1"/>
  <c r="AD141" i="1" s="1"/>
  <c r="AC140" i="1"/>
  <c r="AD140" i="1" s="1"/>
  <c r="AC110" i="1"/>
  <c r="AC96" i="1"/>
  <c r="AC79" i="1"/>
  <c r="AC49" i="1"/>
  <c r="AC48" i="1"/>
  <c r="AC36" i="1"/>
  <c r="AC11" i="1"/>
  <c r="AA450" i="1"/>
  <c r="AA445" i="1"/>
  <c r="AA434" i="1"/>
  <c r="AA430" i="1"/>
  <c r="AA424" i="1"/>
  <c r="AA419" i="1"/>
  <c r="AA414" i="1"/>
  <c r="AA408" i="1"/>
  <c r="AA403" i="1"/>
  <c r="AA382" i="1"/>
  <c r="AA341" i="1"/>
  <c r="AA383" i="1" s="1"/>
  <c r="AA333" i="1"/>
  <c r="AA316" i="1"/>
  <c r="AA284" i="1"/>
  <c r="AA281" i="1"/>
  <c r="AA242" i="1"/>
  <c r="AA270" i="1" s="1"/>
  <c r="AA215" i="1"/>
  <c r="AA216" i="1" s="1"/>
  <c r="AA192" i="1"/>
  <c r="AA191" i="1"/>
  <c r="AA155" i="1"/>
  <c r="AA141" i="1"/>
  <c r="AA140" i="1"/>
  <c r="AA111" i="1"/>
  <c r="AA110" i="1"/>
  <c r="AA79" i="1"/>
  <c r="AA49" i="1"/>
  <c r="AA48" i="1"/>
  <c r="AA11" i="1"/>
  <c r="Z450" i="1"/>
  <c r="Z434" i="1"/>
  <c r="Z430" i="1"/>
  <c r="Z424" i="1"/>
  <c r="Z419" i="1"/>
  <c r="Z414" i="1"/>
  <c r="Z408" i="1"/>
  <c r="Z403" i="1"/>
  <c r="Z382" i="1"/>
  <c r="Z341" i="1"/>
  <c r="Z383" i="1" s="1"/>
  <c r="Z333" i="1"/>
  <c r="Z316" i="1"/>
  <c r="Z284" i="1"/>
  <c r="Z281" i="1"/>
  <c r="Z242" i="1"/>
  <c r="Z270" i="1" s="1"/>
  <c r="Z215" i="1"/>
  <c r="Z216" i="1" s="1"/>
  <c r="Z192" i="1"/>
  <c r="Z191" i="1"/>
  <c r="Z155" i="1"/>
  <c r="Z141" i="1"/>
  <c r="Z140" i="1"/>
  <c r="Z111" i="1"/>
  <c r="Z110" i="1"/>
  <c r="Z79" i="1"/>
  <c r="Z49" i="1"/>
  <c r="Z48" i="1"/>
  <c r="Z37" i="1"/>
  <c r="Z36" i="1"/>
  <c r="Z11" i="1"/>
  <c r="Y450" i="1"/>
  <c r="Y445" i="1"/>
  <c r="Y434" i="1"/>
  <c r="Y430" i="1"/>
  <c r="Y424" i="1"/>
  <c r="Y419" i="1"/>
  <c r="Y414" i="1"/>
  <c r="Y408" i="1"/>
  <c r="Y403" i="1"/>
  <c r="Y394" i="1"/>
  <c r="Y382" i="1"/>
  <c r="Y341" i="1"/>
  <c r="Y383" i="1" s="1"/>
  <c r="Y333" i="1"/>
  <c r="Y316" i="1"/>
  <c r="Y284" i="1"/>
  <c r="Y281" i="1"/>
  <c r="Y310" i="1" s="1"/>
  <c r="Y242" i="1"/>
  <c r="Y270" i="1" s="1"/>
  <c r="Y215" i="1"/>
  <c r="Y216" i="1" s="1"/>
  <c r="Y192" i="1"/>
  <c r="Y191" i="1"/>
  <c r="Y155" i="1"/>
  <c r="Y141" i="1"/>
  <c r="Y140" i="1"/>
  <c r="Y111" i="1"/>
  <c r="Y110" i="1"/>
  <c r="Y79" i="1"/>
  <c r="Y49" i="1"/>
  <c r="Y48" i="1"/>
  <c r="Y37" i="1"/>
  <c r="Y36" i="1"/>
  <c r="Y11" i="1"/>
  <c r="W20" i="1"/>
  <c r="W15" i="1"/>
  <c r="W8" i="1"/>
  <c r="X453" i="1"/>
  <c r="X451" i="1"/>
  <c r="X449" i="1"/>
  <c r="X447" i="1"/>
  <c r="X446" i="1"/>
  <c r="X439" i="1"/>
  <c r="X438" i="1"/>
  <c r="X437" i="1"/>
  <c r="X436" i="1"/>
  <c r="X435" i="1"/>
  <c r="X432" i="1"/>
  <c r="X431" i="1"/>
  <c r="X426" i="1"/>
  <c r="X425" i="1"/>
  <c r="X421" i="1"/>
  <c r="X420" i="1"/>
  <c r="X416" i="1"/>
  <c r="X415" i="1"/>
  <c r="X413" i="1"/>
  <c r="X411" i="1"/>
  <c r="X410" i="1"/>
  <c r="X409" i="1"/>
  <c r="X405" i="1"/>
  <c r="X404" i="1"/>
  <c r="X400" i="1"/>
  <c r="X399" i="1"/>
  <c r="X398" i="1"/>
  <c r="X397" i="1"/>
  <c r="X395" i="1"/>
  <c r="X385" i="1"/>
  <c r="X384" i="1"/>
  <c r="X345" i="1"/>
  <c r="X344" i="1"/>
  <c r="X343" i="1"/>
  <c r="X342" i="1"/>
  <c r="X340" i="1"/>
  <c r="X334" i="1"/>
  <c r="X319" i="1"/>
  <c r="X318" i="1"/>
  <c r="X317" i="1"/>
  <c r="X313" i="1"/>
  <c r="X312" i="1"/>
  <c r="X311" i="1"/>
  <c r="X309" i="1"/>
  <c r="X285" i="1"/>
  <c r="X282" i="1"/>
  <c r="X272" i="1"/>
  <c r="X271" i="1"/>
  <c r="X269" i="1"/>
  <c r="X252" i="1"/>
  <c r="X251" i="1"/>
  <c r="X250" i="1"/>
  <c r="X243" i="1"/>
  <c r="X238" i="1"/>
  <c r="X237" i="1"/>
  <c r="X222" i="1"/>
  <c r="X221" i="1"/>
  <c r="X220" i="1"/>
  <c r="X219" i="1"/>
  <c r="X218" i="1"/>
  <c r="X217" i="1"/>
  <c r="X194" i="1"/>
  <c r="X193" i="1"/>
  <c r="X181" i="1"/>
  <c r="X157" i="1"/>
  <c r="X156" i="1"/>
  <c r="X144" i="1"/>
  <c r="X143" i="1"/>
  <c r="X142" i="1"/>
  <c r="X127" i="1"/>
  <c r="X114" i="1"/>
  <c r="X113" i="1"/>
  <c r="X112" i="1"/>
  <c r="X101" i="1"/>
  <c r="X99" i="1"/>
  <c r="X92" i="1"/>
  <c r="X91" i="1"/>
  <c r="X90" i="1"/>
  <c r="X89" i="1"/>
  <c r="X88" i="1"/>
  <c r="X87" i="1"/>
  <c r="X53" i="1"/>
  <c r="X52" i="1"/>
  <c r="X51" i="1"/>
  <c r="X39" i="1"/>
  <c r="X38" i="1"/>
  <c r="X13" i="1"/>
  <c r="X12" i="1"/>
  <c r="Q388" i="1"/>
  <c r="V261" i="1"/>
  <c r="X261" i="1" s="1"/>
  <c r="V259" i="1"/>
  <c r="V136" i="1"/>
  <c r="X136" i="1" s="1"/>
  <c r="U388" i="1"/>
  <c r="U394" i="1" s="1"/>
  <c r="V170" i="1"/>
  <c r="V21" i="1"/>
  <c r="V448" i="1"/>
  <c r="V444" i="1"/>
  <c r="V442" i="1"/>
  <c r="V441" i="1"/>
  <c r="X441" i="1" s="1"/>
  <c r="V440" i="1"/>
  <c r="V433" i="1"/>
  <c r="V429" i="1"/>
  <c r="X429" i="1" s="1"/>
  <c r="V428" i="1"/>
  <c r="V427" i="1"/>
  <c r="V423" i="1"/>
  <c r="X423" i="1" s="1"/>
  <c r="V422" i="1"/>
  <c r="V418" i="1"/>
  <c r="V412" i="1"/>
  <c r="V407" i="1"/>
  <c r="V406" i="1"/>
  <c r="V402" i="1"/>
  <c r="V401" i="1"/>
  <c r="V393" i="1"/>
  <c r="V392" i="1"/>
  <c r="V391" i="1"/>
  <c r="V390" i="1"/>
  <c r="V389" i="1"/>
  <c r="V387" i="1"/>
  <c r="V386" i="1"/>
  <c r="V381" i="1"/>
  <c r="V380" i="1"/>
  <c r="V379" i="1"/>
  <c r="V378" i="1"/>
  <c r="V377" i="1"/>
  <c r="V376" i="1"/>
  <c r="V375" i="1"/>
  <c r="V374" i="1"/>
  <c r="X374" i="1" s="1"/>
  <c r="V373" i="1"/>
  <c r="V372" i="1"/>
  <c r="V371" i="1"/>
  <c r="V370" i="1"/>
  <c r="V369" i="1"/>
  <c r="V368" i="1"/>
  <c r="V367" i="1"/>
  <c r="V366" i="1"/>
  <c r="X366" i="1" s="1"/>
  <c r="V365" i="1"/>
  <c r="V364" i="1"/>
  <c r="V363" i="1"/>
  <c r="V362" i="1"/>
  <c r="V361" i="1"/>
  <c r="V360" i="1"/>
  <c r="V359" i="1"/>
  <c r="V358" i="1"/>
  <c r="X358" i="1" s="1"/>
  <c r="V357" i="1"/>
  <c r="V356" i="1"/>
  <c r="V355" i="1"/>
  <c r="V354" i="1"/>
  <c r="V353" i="1"/>
  <c r="V352" i="1"/>
  <c r="V351" i="1"/>
  <c r="V350" i="1"/>
  <c r="X350" i="1" s="1"/>
  <c r="V349" i="1"/>
  <c r="V348" i="1"/>
  <c r="V347" i="1"/>
  <c r="V346" i="1"/>
  <c r="V339" i="1"/>
  <c r="V337" i="1"/>
  <c r="V336" i="1"/>
  <c r="V332" i="1"/>
  <c r="V331" i="1"/>
  <c r="V330" i="1"/>
  <c r="V329" i="1"/>
  <c r="V328" i="1"/>
  <c r="X328" i="1" s="1"/>
  <c r="V327" i="1"/>
  <c r="V326" i="1"/>
  <c r="V325" i="1"/>
  <c r="V324" i="1"/>
  <c r="V323" i="1"/>
  <c r="V322" i="1"/>
  <c r="V321" i="1"/>
  <c r="V320" i="1"/>
  <c r="X320" i="1" s="1"/>
  <c r="V315" i="1"/>
  <c r="V314" i="1"/>
  <c r="V308" i="1"/>
  <c r="V307" i="1"/>
  <c r="V306" i="1"/>
  <c r="X306" i="1" s="1"/>
  <c r="V305" i="1"/>
  <c r="V304" i="1"/>
  <c r="V303" i="1"/>
  <c r="V302" i="1"/>
  <c r="V301" i="1"/>
  <c r="V300" i="1"/>
  <c r="V299" i="1"/>
  <c r="V298" i="1"/>
  <c r="X298" i="1" s="1"/>
  <c r="V297" i="1"/>
  <c r="V296" i="1"/>
  <c r="V295" i="1"/>
  <c r="V294" i="1"/>
  <c r="V293" i="1"/>
  <c r="V292" i="1"/>
  <c r="V291" i="1"/>
  <c r="V290" i="1"/>
  <c r="X290" i="1" s="1"/>
  <c r="V289" i="1"/>
  <c r="V288" i="1"/>
  <c r="V287" i="1"/>
  <c r="V286" i="1"/>
  <c r="V283" i="1"/>
  <c r="V280" i="1"/>
  <c r="V279" i="1"/>
  <c r="V278" i="1"/>
  <c r="V277" i="1"/>
  <c r="X277" i="1" s="1"/>
  <c r="V276" i="1"/>
  <c r="V275" i="1"/>
  <c r="V274" i="1"/>
  <c r="V273" i="1"/>
  <c r="V268" i="1"/>
  <c r="V267" i="1"/>
  <c r="V266" i="1"/>
  <c r="V265" i="1"/>
  <c r="V264" i="1"/>
  <c r="V263" i="1"/>
  <c r="V262" i="1"/>
  <c r="V258" i="1"/>
  <c r="V257" i="1"/>
  <c r="V256" i="1"/>
  <c r="V255" i="1"/>
  <c r="V254" i="1"/>
  <c r="V253" i="1"/>
  <c r="V248" i="1"/>
  <c r="V247" i="1"/>
  <c r="V246" i="1"/>
  <c r="V244" i="1"/>
  <c r="X244" i="1" s="1"/>
  <c r="V241" i="1"/>
  <c r="V240" i="1"/>
  <c r="V239" i="1"/>
  <c r="V235" i="1"/>
  <c r="V234" i="1"/>
  <c r="V233" i="1"/>
  <c r="V232" i="1"/>
  <c r="V231" i="1"/>
  <c r="V230" i="1"/>
  <c r="X230" i="1" s="1"/>
  <c r="V229" i="1"/>
  <c r="V228" i="1"/>
  <c r="V227" i="1"/>
  <c r="V226" i="1"/>
  <c r="V225" i="1"/>
  <c r="V224" i="1"/>
  <c r="V223" i="1"/>
  <c r="V214" i="1"/>
  <c r="X214" i="1" s="1"/>
  <c r="V213" i="1"/>
  <c r="V212" i="1"/>
  <c r="V210" i="1"/>
  <c r="V209" i="1"/>
  <c r="V208" i="1"/>
  <c r="V207" i="1"/>
  <c r="X207" i="1" s="1"/>
  <c r="V205" i="1"/>
  <c r="V204" i="1"/>
  <c r="V203" i="1"/>
  <c r="V202" i="1"/>
  <c r="V201" i="1"/>
  <c r="V200" i="1"/>
  <c r="V199" i="1"/>
  <c r="V198" i="1"/>
  <c r="V197" i="1"/>
  <c r="V196" i="1"/>
  <c r="V195" i="1"/>
  <c r="V190" i="1"/>
  <c r="V189" i="1"/>
  <c r="V188" i="1"/>
  <c r="V187" i="1"/>
  <c r="V186" i="1"/>
  <c r="V185" i="1"/>
  <c r="X185" i="1" s="1"/>
  <c r="V184" i="1"/>
  <c r="V183" i="1"/>
  <c r="V182" i="1"/>
  <c r="V180" i="1"/>
  <c r="V178" i="1"/>
  <c r="V177" i="1"/>
  <c r="X177" i="1" s="1"/>
  <c r="V176" i="1"/>
  <c r="V175" i="1"/>
  <c r="V174" i="1"/>
  <c r="V173" i="1"/>
  <c r="V172" i="1"/>
  <c r="V171" i="1"/>
  <c r="V169" i="1"/>
  <c r="X169" i="1" s="1"/>
  <c r="V168" i="1"/>
  <c r="V167" i="1"/>
  <c r="V166" i="1"/>
  <c r="V165" i="1"/>
  <c r="V164" i="1"/>
  <c r="V163" i="1"/>
  <c r="V162" i="1"/>
  <c r="V161" i="1"/>
  <c r="X161" i="1" s="1"/>
  <c r="V160" i="1"/>
  <c r="V159" i="1"/>
  <c r="V158" i="1"/>
  <c r="V154" i="1"/>
  <c r="V153" i="1"/>
  <c r="X153" i="1" s="1"/>
  <c r="V150" i="1"/>
  <c r="V149" i="1"/>
  <c r="V148" i="1"/>
  <c r="V147" i="1"/>
  <c r="V146" i="1"/>
  <c r="V145" i="1"/>
  <c r="X145" i="1" s="1"/>
  <c r="V139" i="1"/>
  <c r="V138" i="1"/>
  <c r="V134" i="1"/>
  <c r="V132" i="1"/>
  <c r="V131" i="1"/>
  <c r="V130" i="1"/>
  <c r="V129" i="1"/>
  <c r="V128" i="1"/>
  <c r="X128" i="1" s="1"/>
  <c r="V126" i="1"/>
  <c r="V125" i="1"/>
  <c r="V124" i="1"/>
  <c r="V122" i="1"/>
  <c r="V121" i="1"/>
  <c r="V120" i="1"/>
  <c r="X120" i="1" s="1"/>
  <c r="V119" i="1"/>
  <c r="V118" i="1"/>
  <c r="V117" i="1"/>
  <c r="V116" i="1"/>
  <c r="V115" i="1"/>
  <c r="V109" i="1"/>
  <c r="V108" i="1"/>
  <c r="V107" i="1"/>
  <c r="V106" i="1"/>
  <c r="V105" i="1"/>
  <c r="V104" i="1"/>
  <c r="X104" i="1" s="1"/>
  <c r="V103" i="1"/>
  <c r="V102" i="1"/>
  <c r="V100" i="1"/>
  <c r="V98" i="1"/>
  <c r="V96" i="1"/>
  <c r="V95" i="1"/>
  <c r="V94" i="1"/>
  <c r="V93" i="1"/>
  <c r="V85" i="1"/>
  <c r="V84" i="1"/>
  <c r="V83" i="1"/>
  <c r="V82" i="1"/>
  <c r="V81" i="1"/>
  <c r="V80" i="1"/>
  <c r="V78" i="1"/>
  <c r="V77" i="1"/>
  <c r="V75" i="1"/>
  <c r="V74" i="1"/>
  <c r="V73" i="1"/>
  <c r="V72" i="1"/>
  <c r="V71" i="1"/>
  <c r="V70" i="1"/>
  <c r="V69" i="1"/>
  <c r="V68" i="1"/>
  <c r="V67" i="1"/>
  <c r="V65" i="1"/>
  <c r="V64" i="1"/>
  <c r="V63" i="1"/>
  <c r="V62" i="1"/>
  <c r="V61" i="1"/>
  <c r="V60" i="1"/>
  <c r="V59" i="1"/>
  <c r="V58" i="1"/>
  <c r="V57" i="1"/>
  <c r="V56" i="1"/>
  <c r="V55" i="1"/>
  <c r="X55" i="1" s="1"/>
  <c r="V54" i="1"/>
  <c r="V47" i="1"/>
  <c r="V46" i="1"/>
  <c r="V45" i="1"/>
  <c r="V44" i="1"/>
  <c r="V43" i="1"/>
  <c r="V42" i="1"/>
  <c r="V41" i="1"/>
  <c r="V40" i="1"/>
  <c r="V35" i="1"/>
  <c r="V34" i="1"/>
  <c r="V33" i="1"/>
  <c r="V32" i="1"/>
  <c r="X32" i="1" s="1"/>
  <c r="V31" i="1"/>
  <c r="V30" i="1"/>
  <c r="V29" i="1"/>
  <c r="V28" i="1"/>
  <c r="V27" i="1"/>
  <c r="V26" i="1"/>
  <c r="V25" i="1"/>
  <c r="V24" i="1"/>
  <c r="X24" i="1" s="1"/>
  <c r="V23" i="1"/>
  <c r="V22" i="1"/>
  <c r="V20" i="1"/>
  <c r="V19" i="1"/>
  <c r="V18" i="1"/>
  <c r="V17" i="1"/>
  <c r="V16" i="1"/>
  <c r="V14" i="1"/>
  <c r="V10" i="1"/>
  <c r="X10" i="1" s="1"/>
  <c r="V9" i="1"/>
  <c r="V8" i="1"/>
  <c r="W450" i="1"/>
  <c r="U450" i="1"/>
  <c r="W445" i="1"/>
  <c r="U445" i="1"/>
  <c r="W434" i="1"/>
  <c r="U434" i="1"/>
  <c r="W430" i="1"/>
  <c r="U430" i="1"/>
  <c r="W424" i="1"/>
  <c r="U424" i="1"/>
  <c r="W419" i="1"/>
  <c r="U419" i="1"/>
  <c r="W414" i="1"/>
  <c r="U414" i="1"/>
  <c r="W408" i="1"/>
  <c r="U408" i="1"/>
  <c r="W403" i="1"/>
  <c r="U403" i="1"/>
  <c r="W394" i="1"/>
  <c r="W382" i="1"/>
  <c r="U382" i="1"/>
  <c r="W341" i="1"/>
  <c r="W383" i="1" s="1"/>
  <c r="U341" i="1"/>
  <c r="U383" i="1" s="1"/>
  <c r="W333" i="1"/>
  <c r="U333" i="1"/>
  <c r="W316" i="1"/>
  <c r="U316" i="1"/>
  <c r="W284" i="1"/>
  <c r="U284" i="1"/>
  <c r="W281" i="1"/>
  <c r="U281" i="1"/>
  <c r="W249" i="1"/>
  <c r="U242" i="1"/>
  <c r="U270" i="1" s="1"/>
  <c r="W236" i="1"/>
  <c r="W215" i="1"/>
  <c r="U215" i="1"/>
  <c r="U216" i="1" s="1"/>
  <c r="W211" i="1"/>
  <c r="W206" i="1"/>
  <c r="W192" i="1"/>
  <c r="U192" i="1"/>
  <c r="W191" i="1"/>
  <c r="U191" i="1"/>
  <c r="W155" i="1"/>
  <c r="U155" i="1"/>
  <c r="U141" i="1"/>
  <c r="U140" i="1"/>
  <c r="W140" i="1"/>
  <c r="U111" i="1"/>
  <c r="W110" i="1"/>
  <c r="U110" i="1"/>
  <c r="W96" i="1"/>
  <c r="U79" i="1"/>
  <c r="W76" i="1"/>
  <c r="W79" i="1" s="1"/>
  <c r="W49" i="1"/>
  <c r="U49" i="1"/>
  <c r="W48" i="1"/>
  <c r="U48" i="1"/>
  <c r="U37" i="1"/>
  <c r="U36" i="1"/>
  <c r="U11" i="1"/>
  <c r="W11" i="1"/>
  <c r="T453" i="1"/>
  <c r="T451" i="1"/>
  <c r="T449" i="1"/>
  <c r="T447" i="1"/>
  <c r="T446" i="1"/>
  <c r="T439" i="1"/>
  <c r="T438" i="1"/>
  <c r="T437" i="1"/>
  <c r="T436" i="1"/>
  <c r="T435" i="1"/>
  <c r="T432" i="1"/>
  <c r="T431" i="1"/>
  <c r="T426" i="1"/>
  <c r="T425" i="1"/>
  <c r="T421" i="1"/>
  <c r="T420" i="1"/>
  <c r="T416" i="1"/>
  <c r="T415" i="1"/>
  <c r="T413" i="1"/>
  <c r="T411" i="1"/>
  <c r="T410" i="1"/>
  <c r="T409" i="1"/>
  <c r="T405" i="1"/>
  <c r="T404" i="1"/>
  <c r="T400" i="1"/>
  <c r="T399" i="1"/>
  <c r="T398" i="1"/>
  <c r="T397" i="1"/>
  <c r="T395" i="1"/>
  <c r="T385" i="1"/>
  <c r="T384" i="1"/>
  <c r="T345" i="1"/>
  <c r="T344" i="1"/>
  <c r="T343" i="1"/>
  <c r="T342" i="1"/>
  <c r="T340" i="1"/>
  <c r="T334" i="1"/>
  <c r="T319" i="1"/>
  <c r="T318" i="1"/>
  <c r="T317" i="1"/>
  <c r="T313" i="1"/>
  <c r="T312" i="1"/>
  <c r="T311" i="1"/>
  <c r="T309" i="1"/>
  <c r="T285" i="1"/>
  <c r="T282" i="1"/>
  <c r="T272" i="1"/>
  <c r="T271" i="1"/>
  <c r="T269" i="1"/>
  <c r="T252" i="1"/>
  <c r="T251" i="1"/>
  <c r="T250" i="1"/>
  <c r="T243" i="1"/>
  <c r="T238" i="1"/>
  <c r="T237" i="1"/>
  <c r="T222" i="1"/>
  <c r="T221" i="1"/>
  <c r="T220" i="1"/>
  <c r="T219" i="1"/>
  <c r="T218" i="1"/>
  <c r="T217" i="1"/>
  <c r="T194" i="1"/>
  <c r="T193" i="1"/>
  <c r="T159" i="1"/>
  <c r="T158" i="1"/>
  <c r="T157" i="1"/>
  <c r="T156" i="1"/>
  <c r="T144" i="1"/>
  <c r="T143" i="1"/>
  <c r="T142" i="1"/>
  <c r="T119" i="1"/>
  <c r="T118" i="1"/>
  <c r="T114" i="1"/>
  <c r="T113" i="1"/>
  <c r="T112" i="1"/>
  <c r="T101" i="1"/>
  <c r="T99" i="1"/>
  <c r="T92" i="1"/>
  <c r="T91" i="1"/>
  <c r="T90" i="1"/>
  <c r="T89" i="1"/>
  <c r="T88" i="1"/>
  <c r="T87" i="1"/>
  <c r="T53" i="1"/>
  <c r="T52" i="1"/>
  <c r="T51" i="1"/>
  <c r="T39" i="1"/>
  <c r="T38" i="1"/>
  <c r="T31" i="1"/>
  <c r="T13" i="1"/>
  <c r="T12" i="1"/>
  <c r="S255" i="1"/>
  <c r="P249" i="1"/>
  <c r="S133" i="1"/>
  <c r="S140" i="1" s="1"/>
  <c r="S96" i="1"/>
  <c r="S94" i="1"/>
  <c r="S15" i="1"/>
  <c r="S8" i="1"/>
  <c r="S11" i="1" s="1"/>
  <c r="Q394" i="1"/>
  <c r="P388" i="1"/>
  <c r="P394" i="1" s="1"/>
  <c r="N49" i="1"/>
  <c r="N417" i="1"/>
  <c r="AB417" i="1" s="1"/>
  <c r="N135" i="1"/>
  <c r="O388" i="1"/>
  <c r="N388" i="1"/>
  <c r="N394" i="1" s="1"/>
  <c r="R448" i="1"/>
  <c r="R444" i="1"/>
  <c r="R442" i="1"/>
  <c r="T442" i="1" s="1"/>
  <c r="R441" i="1"/>
  <c r="R440" i="1"/>
  <c r="R433" i="1"/>
  <c r="R429" i="1"/>
  <c r="R428" i="1"/>
  <c r="R427" i="1"/>
  <c r="R423" i="1"/>
  <c r="R422" i="1"/>
  <c r="R418" i="1"/>
  <c r="R417" i="1"/>
  <c r="R412" i="1"/>
  <c r="R407" i="1"/>
  <c r="R406" i="1"/>
  <c r="R402" i="1"/>
  <c r="R401" i="1"/>
  <c r="R393" i="1"/>
  <c r="R392" i="1"/>
  <c r="R391" i="1"/>
  <c r="R390" i="1"/>
  <c r="T390" i="1" s="1"/>
  <c r="R389" i="1"/>
  <c r="R387" i="1"/>
  <c r="T387" i="1" s="1"/>
  <c r="R386" i="1"/>
  <c r="R381" i="1"/>
  <c r="T381" i="1" s="1"/>
  <c r="R380" i="1"/>
  <c r="R379" i="1"/>
  <c r="R378" i="1"/>
  <c r="R377" i="1"/>
  <c r="R376" i="1"/>
  <c r="T376" i="1" s="1"/>
  <c r="R375" i="1"/>
  <c r="R374" i="1"/>
  <c r="R373" i="1"/>
  <c r="T373" i="1" s="1"/>
  <c r="R372" i="1"/>
  <c r="R371" i="1"/>
  <c r="R370" i="1"/>
  <c r="R369" i="1"/>
  <c r="R368" i="1"/>
  <c r="T368" i="1" s="1"/>
  <c r="R367" i="1"/>
  <c r="R366" i="1"/>
  <c r="R365" i="1"/>
  <c r="T365" i="1" s="1"/>
  <c r="R364" i="1"/>
  <c r="R363" i="1"/>
  <c r="R362" i="1"/>
  <c r="T362" i="1" s="1"/>
  <c r="R361" i="1"/>
  <c r="R360" i="1"/>
  <c r="T360" i="1" s="1"/>
  <c r="R359" i="1"/>
  <c r="R358" i="1"/>
  <c r="R357" i="1"/>
  <c r="T357" i="1" s="1"/>
  <c r="R356" i="1"/>
  <c r="R355" i="1"/>
  <c r="R354" i="1"/>
  <c r="T354" i="1" s="1"/>
  <c r="R353" i="1"/>
  <c r="R352" i="1"/>
  <c r="T352" i="1" s="1"/>
  <c r="R351" i="1"/>
  <c r="R350" i="1"/>
  <c r="R349" i="1"/>
  <c r="T349" i="1" s="1"/>
  <c r="R348" i="1"/>
  <c r="R347" i="1"/>
  <c r="R346" i="1"/>
  <c r="T346" i="1" s="1"/>
  <c r="R339" i="1"/>
  <c r="R337" i="1"/>
  <c r="R336" i="1"/>
  <c r="R332" i="1"/>
  <c r="R331" i="1"/>
  <c r="R330" i="1"/>
  <c r="T330" i="1" s="1"/>
  <c r="R329" i="1"/>
  <c r="R328" i="1"/>
  <c r="R327" i="1"/>
  <c r="T327" i="1" s="1"/>
  <c r="R326" i="1"/>
  <c r="R325" i="1"/>
  <c r="T325" i="1" s="1"/>
  <c r="R324" i="1"/>
  <c r="R323" i="1"/>
  <c r="R322" i="1"/>
  <c r="T322" i="1" s="1"/>
  <c r="R321" i="1"/>
  <c r="R320" i="1"/>
  <c r="T320" i="1" s="1"/>
  <c r="R315" i="1"/>
  <c r="R314" i="1"/>
  <c r="T314" i="1" s="1"/>
  <c r="R287" i="1"/>
  <c r="R286" i="1"/>
  <c r="T286" i="1" s="1"/>
  <c r="R308" i="1"/>
  <c r="R307" i="1"/>
  <c r="T307" i="1" s="1"/>
  <c r="R306" i="1"/>
  <c r="R305" i="1"/>
  <c r="R304" i="1"/>
  <c r="R303" i="1"/>
  <c r="R302" i="1"/>
  <c r="T302" i="1" s="1"/>
  <c r="R301" i="1"/>
  <c r="R300" i="1"/>
  <c r="R299" i="1"/>
  <c r="T299" i="1" s="1"/>
  <c r="R298" i="1"/>
  <c r="R297" i="1"/>
  <c r="R296" i="1"/>
  <c r="R295" i="1"/>
  <c r="R294" i="1"/>
  <c r="T294" i="1" s="1"/>
  <c r="R293" i="1"/>
  <c r="R292" i="1"/>
  <c r="R291" i="1"/>
  <c r="T291" i="1" s="1"/>
  <c r="R290" i="1"/>
  <c r="R289" i="1"/>
  <c r="R288" i="1"/>
  <c r="R283" i="1"/>
  <c r="R280" i="1"/>
  <c r="T280" i="1" s="1"/>
  <c r="R279" i="1"/>
  <c r="R278" i="1"/>
  <c r="T278" i="1" s="1"/>
  <c r="R277" i="1"/>
  <c r="R276" i="1"/>
  <c r="R275" i="1"/>
  <c r="T275" i="1" s="1"/>
  <c r="R274" i="1"/>
  <c r="R273" i="1"/>
  <c r="R268" i="1"/>
  <c r="R267" i="1"/>
  <c r="R266" i="1"/>
  <c r="T266" i="1" s="1"/>
  <c r="R265" i="1"/>
  <c r="R264" i="1"/>
  <c r="R263" i="1"/>
  <c r="T263" i="1" s="1"/>
  <c r="R262" i="1"/>
  <c r="R258" i="1"/>
  <c r="T258" i="1" s="1"/>
  <c r="R257" i="1"/>
  <c r="R256" i="1"/>
  <c r="R255" i="1"/>
  <c r="R254" i="1"/>
  <c r="R253" i="1"/>
  <c r="R248" i="1"/>
  <c r="T248" i="1" s="1"/>
  <c r="R247" i="1"/>
  <c r="R246" i="1"/>
  <c r="R244" i="1"/>
  <c r="T244" i="1" s="1"/>
  <c r="R241" i="1"/>
  <c r="R240" i="1"/>
  <c r="R239" i="1"/>
  <c r="T239" i="1" s="1"/>
  <c r="R235" i="1"/>
  <c r="T235" i="1" s="1"/>
  <c r="R234" i="1"/>
  <c r="R233" i="1"/>
  <c r="R232" i="1"/>
  <c r="R231" i="1"/>
  <c r="R230" i="1"/>
  <c r="T230" i="1" s="1"/>
  <c r="R229" i="1"/>
  <c r="R228" i="1"/>
  <c r="R227" i="1"/>
  <c r="R226" i="1"/>
  <c r="R225" i="1"/>
  <c r="R224" i="1"/>
  <c r="T224" i="1" s="1"/>
  <c r="R223" i="1"/>
  <c r="R214" i="1"/>
  <c r="R213" i="1"/>
  <c r="T213" i="1" s="1"/>
  <c r="R212" i="1"/>
  <c r="R210" i="1"/>
  <c r="R209" i="1"/>
  <c r="R208" i="1"/>
  <c r="R207" i="1"/>
  <c r="R205" i="1"/>
  <c r="R204" i="1"/>
  <c r="T204" i="1" s="1"/>
  <c r="R203" i="1"/>
  <c r="R202" i="1"/>
  <c r="R201" i="1"/>
  <c r="R200" i="1"/>
  <c r="R199" i="1"/>
  <c r="T199" i="1" s="1"/>
  <c r="R198" i="1"/>
  <c r="R197" i="1"/>
  <c r="R196" i="1"/>
  <c r="T196" i="1" s="1"/>
  <c r="R195" i="1"/>
  <c r="R190" i="1"/>
  <c r="T190" i="1" s="1"/>
  <c r="R189" i="1"/>
  <c r="R188" i="1"/>
  <c r="R187" i="1"/>
  <c r="T187" i="1" s="1"/>
  <c r="R186" i="1"/>
  <c r="R185" i="1"/>
  <c r="R184" i="1"/>
  <c r="R183" i="1"/>
  <c r="R182" i="1"/>
  <c r="T182" i="1" s="1"/>
  <c r="R181" i="1"/>
  <c r="R180" i="1"/>
  <c r="T180" i="1" s="1"/>
  <c r="R178" i="1"/>
  <c r="R177" i="1"/>
  <c r="T177" i="1" s="1"/>
  <c r="R176" i="1"/>
  <c r="R175" i="1"/>
  <c r="T175" i="1" s="1"/>
  <c r="R174" i="1"/>
  <c r="R173" i="1"/>
  <c r="R172" i="1"/>
  <c r="T172" i="1" s="1"/>
  <c r="R171" i="1"/>
  <c r="R169" i="1"/>
  <c r="R168" i="1"/>
  <c r="T168" i="1" s="1"/>
  <c r="R167" i="1"/>
  <c r="R166" i="1"/>
  <c r="T166" i="1" s="1"/>
  <c r="R165" i="1"/>
  <c r="R164" i="1"/>
  <c r="R163" i="1"/>
  <c r="T163" i="1" s="1"/>
  <c r="R162" i="1"/>
  <c r="R161" i="1"/>
  <c r="R160" i="1"/>
  <c r="T160" i="1" s="1"/>
  <c r="R154" i="1"/>
  <c r="T154" i="1" s="1"/>
  <c r="R153" i="1"/>
  <c r="R150" i="1"/>
  <c r="R149" i="1"/>
  <c r="R148" i="1"/>
  <c r="T148" i="1" s="1"/>
  <c r="R147" i="1"/>
  <c r="R146" i="1"/>
  <c r="R145" i="1"/>
  <c r="R139" i="1"/>
  <c r="R138" i="1"/>
  <c r="R134" i="1"/>
  <c r="R132" i="1"/>
  <c r="R131" i="1"/>
  <c r="R130" i="1"/>
  <c r="R129" i="1"/>
  <c r="R128" i="1"/>
  <c r="T128" i="1" s="1"/>
  <c r="R127" i="1"/>
  <c r="R126" i="1"/>
  <c r="T126" i="1" s="1"/>
  <c r="R125" i="1"/>
  <c r="R124" i="1"/>
  <c r="R122" i="1"/>
  <c r="R121" i="1"/>
  <c r="R120" i="1"/>
  <c r="T120" i="1" s="1"/>
  <c r="R117" i="1"/>
  <c r="R116" i="1"/>
  <c r="R115" i="1"/>
  <c r="R109" i="1"/>
  <c r="T109" i="1" s="1"/>
  <c r="R108" i="1"/>
  <c r="R107" i="1"/>
  <c r="R106" i="1"/>
  <c r="R105" i="1"/>
  <c r="R104" i="1"/>
  <c r="T104" i="1" s="1"/>
  <c r="R103" i="1"/>
  <c r="R102" i="1"/>
  <c r="R100" i="1"/>
  <c r="R98" i="1"/>
  <c r="R96" i="1"/>
  <c r="R95" i="1"/>
  <c r="R94" i="1"/>
  <c r="R93" i="1"/>
  <c r="R85" i="1"/>
  <c r="R84" i="1"/>
  <c r="R83" i="1"/>
  <c r="R82" i="1"/>
  <c r="R81" i="1"/>
  <c r="R80" i="1"/>
  <c r="T80" i="1" s="1"/>
  <c r="R77" i="1"/>
  <c r="T77" i="1" s="1"/>
  <c r="R75" i="1"/>
  <c r="R74" i="1"/>
  <c r="R73" i="1"/>
  <c r="R72" i="1"/>
  <c r="R71" i="1"/>
  <c r="R70" i="1"/>
  <c r="T70" i="1" s="1"/>
  <c r="R69" i="1"/>
  <c r="R68" i="1"/>
  <c r="R67" i="1"/>
  <c r="R65" i="1"/>
  <c r="R64" i="1"/>
  <c r="T64" i="1" s="1"/>
  <c r="R63" i="1"/>
  <c r="R62" i="1"/>
  <c r="R61" i="1"/>
  <c r="T61" i="1" s="1"/>
  <c r="R60" i="1"/>
  <c r="R59" i="1"/>
  <c r="R58" i="1"/>
  <c r="T58" i="1" s="1"/>
  <c r="R57" i="1"/>
  <c r="R56" i="1"/>
  <c r="R55" i="1"/>
  <c r="R54" i="1"/>
  <c r="R47" i="1"/>
  <c r="R46" i="1"/>
  <c r="R45" i="1"/>
  <c r="R44" i="1"/>
  <c r="R43" i="1"/>
  <c r="R42" i="1"/>
  <c r="R41" i="1"/>
  <c r="R40" i="1"/>
  <c r="R35" i="1"/>
  <c r="R34" i="1"/>
  <c r="R33" i="1"/>
  <c r="R32" i="1"/>
  <c r="R30" i="1"/>
  <c r="R29" i="1"/>
  <c r="R28" i="1"/>
  <c r="R27" i="1"/>
  <c r="R26" i="1"/>
  <c r="R25" i="1"/>
  <c r="R24" i="1"/>
  <c r="R23" i="1"/>
  <c r="T23" i="1" s="1"/>
  <c r="R22" i="1"/>
  <c r="R20" i="1"/>
  <c r="T20" i="1" s="1"/>
  <c r="R19" i="1"/>
  <c r="R18" i="1"/>
  <c r="R17" i="1"/>
  <c r="T17" i="1" s="1"/>
  <c r="R16" i="1"/>
  <c r="R14" i="1"/>
  <c r="R10" i="1"/>
  <c r="R9" i="1"/>
  <c r="R8" i="1"/>
  <c r="Q450" i="1"/>
  <c r="P450" i="1"/>
  <c r="Q445" i="1"/>
  <c r="P445" i="1"/>
  <c r="Q434" i="1"/>
  <c r="P434" i="1"/>
  <c r="Q430" i="1"/>
  <c r="P430" i="1"/>
  <c r="Q424" i="1"/>
  <c r="P424" i="1"/>
  <c r="Q419" i="1"/>
  <c r="P419" i="1"/>
  <c r="Q414" i="1"/>
  <c r="P414" i="1"/>
  <c r="Q408" i="1"/>
  <c r="P408" i="1"/>
  <c r="Q403" i="1"/>
  <c r="P403" i="1"/>
  <c r="Q382" i="1"/>
  <c r="P382" i="1"/>
  <c r="P341" i="1"/>
  <c r="P383" i="1" s="1"/>
  <c r="Q341" i="1"/>
  <c r="Q383" i="1" s="1"/>
  <c r="Q333" i="1"/>
  <c r="P333" i="1"/>
  <c r="Q316" i="1"/>
  <c r="P316" i="1"/>
  <c r="Q284" i="1"/>
  <c r="P284" i="1"/>
  <c r="Q281" i="1"/>
  <c r="P281" i="1"/>
  <c r="Q242" i="1"/>
  <c r="Q270" i="1" s="1"/>
  <c r="P242" i="1"/>
  <c r="P270" i="1" s="1"/>
  <c r="Q215" i="1"/>
  <c r="Q216" i="1" s="1"/>
  <c r="P215" i="1"/>
  <c r="P216" i="1" s="1"/>
  <c r="Q192" i="1"/>
  <c r="Q191" i="1"/>
  <c r="P191" i="1"/>
  <c r="P179" i="1"/>
  <c r="P192" i="1" s="1"/>
  <c r="Q155" i="1"/>
  <c r="P155" i="1"/>
  <c r="Q141" i="1"/>
  <c r="P141" i="1"/>
  <c r="Q140" i="1"/>
  <c r="P140" i="1"/>
  <c r="Q111" i="1"/>
  <c r="P111" i="1"/>
  <c r="Q110" i="1"/>
  <c r="P110" i="1"/>
  <c r="Q79" i="1"/>
  <c r="P79" i="1"/>
  <c r="Q49" i="1"/>
  <c r="P49" i="1"/>
  <c r="Q48" i="1"/>
  <c r="P48" i="1"/>
  <c r="Q37" i="1"/>
  <c r="P37" i="1"/>
  <c r="Q36" i="1"/>
  <c r="P36" i="1"/>
  <c r="Q11" i="1"/>
  <c r="P11" i="1"/>
  <c r="S450" i="1"/>
  <c r="O450" i="1"/>
  <c r="N450" i="1"/>
  <c r="S445" i="1"/>
  <c r="O445" i="1"/>
  <c r="N445" i="1"/>
  <c r="S434" i="1"/>
  <c r="O434" i="1"/>
  <c r="N434" i="1"/>
  <c r="S430" i="1"/>
  <c r="O430" i="1"/>
  <c r="N430" i="1"/>
  <c r="S424" i="1"/>
  <c r="O424" i="1"/>
  <c r="N424" i="1"/>
  <c r="S419" i="1"/>
  <c r="O419" i="1"/>
  <c r="S414" i="1"/>
  <c r="O414" i="1"/>
  <c r="N414" i="1"/>
  <c r="S408" i="1"/>
  <c r="O408" i="1"/>
  <c r="N408" i="1"/>
  <c r="S403" i="1"/>
  <c r="O403" i="1"/>
  <c r="N403" i="1"/>
  <c r="S394" i="1"/>
  <c r="S382" i="1"/>
  <c r="O382" i="1"/>
  <c r="N382" i="1"/>
  <c r="S341" i="1"/>
  <c r="S383" i="1" s="1"/>
  <c r="N341" i="1"/>
  <c r="N383" i="1" s="1"/>
  <c r="O341" i="1"/>
  <c r="O383" i="1" s="1"/>
  <c r="S333" i="1"/>
  <c r="O333" i="1"/>
  <c r="N333" i="1"/>
  <c r="S316" i="1"/>
  <c r="O316" i="1"/>
  <c r="N316" i="1"/>
  <c r="S284" i="1"/>
  <c r="O284" i="1"/>
  <c r="N284" i="1"/>
  <c r="S281" i="1"/>
  <c r="O281" i="1"/>
  <c r="N281" i="1"/>
  <c r="S249" i="1"/>
  <c r="S242" i="1"/>
  <c r="O242" i="1"/>
  <c r="O270" i="1" s="1"/>
  <c r="N242" i="1"/>
  <c r="N270" i="1" s="1"/>
  <c r="S236" i="1"/>
  <c r="S215" i="1"/>
  <c r="O215" i="1"/>
  <c r="O216" i="1" s="1"/>
  <c r="N215" i="1"/>
  <c r="N216" i="1" s="1"/>
  <c r="S211" i="1"/>
  <c r="S206" i="1"/>
  <c r="S192" i="1"/>
  <c r="O192" i="1"/>
  <c r="S191" i="1"/>
  <c r="O191" i="1"/>
  <c r="N191" i="1"/>
  <c r="N179" i="1"/>
  <c r="N192" i="1" s="1"/>
  <c r="S155" i="1"/>
  <c r="O155" i="1"/>
  <c r="N155" i="1"/>
  <c r="O141" i="1"/>
  <c r="O140" i="1"/>
  <c r="O111" i="1"/>
  <c r="N111" i="1"/>
  <c r="S110" i="1"/>
  <c r="O110" i="1"/>
  <c r="N110" i="1"/>
  <c r="O79" i="1"/>
  <c r="N79" i="1"/>
  <c r="S76" i="1"/>
  <c r="S49" i="1"/>
  <c r="O49" i="1"/>
  <c r="S48" i="1"/>
  <c r="O48" i="1"/>
  <c r="N48" i="1"/>
  <c r="O37" i="1"/>
  <c r="N37" i="1"/>
  <c r="O36" i="1"/>
  <c r="N36" i="1"/>
  <c r="O11" i="1"/>
  <c r="N11" i="1"/>
  <c r="L211" i="1"/>
  <c r="H211" i="1"/>
  <c r="V211" i="1" s="1"/>
  <c r="L206" i="1"/>
  <c r="H206" i="1"/>
  <c r="L117" i="1"/>
  <c r="M119" i="1"/>
  <c r="M118" i="1"/>
  <c r="L257" i="1"/>
  <c r="L255" i="1" s="1"/>
  <c r="M248" i="1"/>
  <c r="M244" i="1"/>
  <c r="L249" i="1"/>
  <c r="K249" i="1"/>
  <c r="H249" i="1"/>
  <c r="L15" i="1"/>
  <c r="L8" i="1"/>
  <c r="K77" i="1"/>
  <c r="L76" i="1"/>
  <c r="L63" i="1"/>
  <c r="L61" i="1"/>
  <c r="I388" i="1"/>
  <c r="I179" i="1"/>
  <c r="K54" i="1"/>
  <c r="K448" i="1"/>
  <c r="K444" i="1"/>
  <c r="K442" i="1"/>
  <c r="K441" i="1"/>
  <c r="K440" i="1"/>
  <c r="K433" i="1"/>
  <c r="K429" i="1"/>
  <c r="K427" i="1"/>
  <c r="K423" i="1"/>
  <c r="K422" i="1"/>
  <c r="K417" i="1"/>
  <c r="K412" i="1"/>
  <c r="K407" i="1"/>
  <c r="K406" i="1"/>
  <c r="K402" i="1"/>
  <c r="K393" i="1"/>
  <c r="K392" i="1"/>
  <c r="K391" i="1"/>
  <c r="K390" i="1"/>
  <c r="K389" i="1"/>
  <c r="K387" i="1"/>
  <c r="K386" i="1"/>
  <c r="K380" i="1"/>
  <c r="K379" i="1"/>
  <c r="K378" i="1"/>
  <c r="K377" i="1"/>
  <c r="K376" i="1"/>
  <c r="K375" i="1"/>
  <c r="K374" i="1"/>
  <c r="K373" i="1"/>
  <c r="K372" i="1"/>
  <c r="K371" i="1"/>
  <c r="M371" i="1" s="1"/>
  <c r="K370" i="1"/>
  <c r="M370" i="1" s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39" i="1"/>
  <c r="K337" i="1"/>
  <c r="K336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5" i="1"/>
  <c r="K314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3" i="1"/>
  <c r="K280" i="1"/>
  <c r="K279" i="1"/>
  <c r="K278" i="1"/>
  <c r="K277" i="1"/>
  <c r="K276" i="1"/>
  <c r="K275" i="1"/>
  <c r="K274" i="1"/>
  <c r="K273" i="1"/>
  <c r="K268" i="1"/>
  <c r="K267" i="1"/>
  <c r="K266" i="1"/>
  <c r="K265" i="1"/>
  <c r="K264" i="1"/>
  <c r="K263" i="1"/>
  <c r="K262" i="1"/>
  <c r="K258" i="1"/>
  <c r="K257" i="1"/>
  <c r="K256" i="1"/>
  <c r="K255" i="1"/>
  <c r="K254" i="1"/>
  <c r="K253" i="1"/>
  <c r="K241" i="1"/>
  <c r="K240" i="1"/>
  <c r="K239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14" i="1"/>
  <c r="K213" i="1"/>
  <c r="K212" i="1"/>
  <c r="K210" i="1"/>
  <c r="K209" i="1"/>
  <c r="K208" i="1"/>
  <c r="K207" i="1"/>
  <c r="K205" i="1"/>
  <c r="K204" i="1"/>
  <c r="K203" i="1"/>
  <c r="K202" i="1"/>
  <c r="K201" i="1"/>
  <c r="K200" i="1"/>
  <c r="K199" i="1"/>
  <c r="K198" i="1"/>
  <c r="K197" i="1"/>
  <c r="K196" i="1"/>
  <c r="K195" i="1"/>
  <c r="K190" i="1"/>
  <c r="K189" i="1"/>
  <c r="K188" i="1"/>
  <c r="K187" i="1"/>
  <c r="K186" i="1"/>
  <c r="K185" i="1"/>
  <c r="K184" i="1"/>
  <c r="K183" i="1"/>
  <c r="K182" i="1"/>
  <c r="K180" i="1"/>
  <c r="K178" i="1"/>
  <c r="K177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3" i="1"/>
  <c r="K162" i="1"/>
  <c r="K161" i="1"/>
  <c r="K160" i="1"/>
  <c r="K154" i="1"/>
  <c r="K153" i="1"/>
  <c r="K149" i="1"/>
  <c r="K148" i="1"/>
  <c r="K147" i="1"/>
  <c r="K146" i="1"/>
  <c r="K145" i="1"/>
  <c r="K139" i="1"/>
  <c r="K138" i="1"/>
  <c r="K135" i="1"/>
  <c r="K134" i="1"/>
  <c r="K132" i="1"/>
  <c r="K128" i="1"/>
  <c r="K126" i="1"/>
  <c r="K125" i="1"/>
  <c r="K124" i="1"/>
  <c r="K122" i="1"/>
  <c r="K121" i="1"/>
  <c r="K120" i="1"/>
  <c r="K117" i="1"/>
  <c r="K116" i="1"/>
  <c r="K115" i="1"/>
  <c r="K109" i="1"/>
  <c r="K108" i="1"/>
  <c r="K107" i="1"/>
  <c r="K106" i="1"/>
  <c r="K105" i="1"/>
  <c r="K104" i="1"/>
  <c r="K103" i="1"/>
  <c r="K102" i="1"/>
  <c r="K100" i="1"/>
  <c r="K98" i="1"/>
  <c r="K96" i="1"/>
  <c r="K95" i="1"/>
  <c r="K94" i="1"/>
  <c r="K93" i="1"/>
  <c r="K85" i="1"/>
  <c r="K84" i="1"/>
  <c r="K83" i="1"/>
  <c r="K82" i="1"/>
  <c r="K81" i="1"/>
  <c r="K80" i="1"/>
  <c r="K78" i="1"/>
  <c r="K75" i="1"/>
  <c r="K74" i="1"/>
  <c r="K73" i="1"/>
  <c r="K72" i="1"/>
  <c r="K71" i="1"/>
  <c r="K70" i="1"/>
  <c r="K69" i="1"/>
  <c r="K68" i="1"/>
  <c r="K67" i="1"/>
  <c r="K65" i="1"/>
  <c r="K64" i="1"/>
  <c r="K63" i="1"/>
  <c r="K62" i="1"/>
  <c r="K61" i="1"/>
  <c r="K60" i="1"/>
  <c r="K59" i="1"/>
  <c r="K58" i="1"/>
  <c r="K57" i="1"/>
  <c r="K56" i="1"/>
  <c r="K55" i="1"/>
  <c r="K46" i="1"/>
  <c r="K45" i="1"/>
  <c r="K44" i="1"/>
  <c r="K43" i="1"/>
  <c r="K42" i="1"/>
  <c r="K41" i="1"/>
  <c r="K40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4" i="1"/>
  <c r="K10" i="1"/>
  <c r="K9" i="1"/>
  <c r="J338" i="1"/>
  <c r="J335" i="1"/>
  <c r="AB335" i="1" s="1"/>
  <c r="J388" i="1"/>
  <c r="I37" i="1"/>
  <c r="AA36" i="1" l="1"/>
  <c r="AA37" i="1"/>
  <c r="AB443" i="1"/>
  <c r="AC270" i="1"/>
  <c r="AB242" i="1"/>
  <c r="X246" i="1"/>
  <c r="AB281" i="1"/>
  <c r="AA394" i="1"/>
  <c r="AB424" i="1"/>
  <c r="X59" i="1"/>
  <c r="X182" i="1"/>
  <c r="AC310" i="1"/>
  <c r="X348" i="1"/>
  <c r="AB450" i="1"/>
  <c r="AB445" i="1"/>
  <c r="X72" i="1"/>
  <c r="X148" i="1"/>
  <c r="X40" i="1"/>
  <c r="AB179" i="1"/>
  <c r="AB192" i="1" s="1"/>
  <c r="X47" i="1"/>
  <c r="X305" i="1"/>
  <c r="X323" i="1"/>
  <c r="X380" i="1"/>
  <c r="AB49" i="1"/>
  <c r="AB191" i="1"/>
  <c r="AB419" i="1"/>
  <c r="X14" i="1"/>
  <c r="X190" i="1"/>
  <c r="X390" i="1"/>
  <c r="AB430" i="1"/>
  <c r="X21" i="1"/>
  <c r="X57" i="1"/>
  <c r="AB408" i="1"/>
  <c r="X100" i="1"/>
  <c r="X171" i="1"/>
  <c r="X276" i="1"/>
  <c r="X321" i="1"/>
  <c r="X347" i="1"/>
  <c r="X379" i="1"/>
  <c r="X22" i="1"/>
  <c r="V206" i="1"/>
  <c r="AB206" i="1"/>
  <c r="X211" i="1"/>
  <c r="X74" i="1"/>
  <c r="X84" i="1"/>
  <c r="X115" i="1"/>
  <c r="X124" i="1"/>
  <c r="X134" i="1"/>
  <c r="X150" i="1"/>
  <c r="X163" i="1"/>
  <c r="X172" i="1"/>
  <c r="X202" i="1"/>
  <c r="V215" i="1"/>
  <c r="X215" i="1" s="1"/>
  <c r="X212" i="1"/>
  <c r="X228" i="1"/>
  <c r="X239" i="1"/>
  <c r="X254" i="1"/>
  <c r="X265" i="1"/>
  <c r="X322" i="1"/>
  <c r="X330" i="1"/>
  <c r="X393" i="1"/>
  <c r="X444" i="1"/>
  <c r="X23" i="1"/>
  <c r="X31" i="1"/>
  <c r="X41" i="1"/>
  <c r="X60" i="1"/>
  <c r="X273" i="1"/>
  <c r="X331" i="1"/>
  <c r="X356" i="1"/>
  <c r="X83" i="1"/>
  <c r="X162" i="1"/>
  <c r="X201" i="1"/>
  <c r="X253" i="1"/>
  <c r="X296" i="1"/>
  <c r="X329" i="1"/>
  <c r="X363" i="1"/>
  <c r="V424" i="1"/>
  <c r="X422" i="1"/>
  <c r="X442" i="1"/>
  <c r="X30" i="1"/>
  <c r="N141" i="1"/>
  <c r="AB135" i="1"/>
  <c r="X58" i="1"/>
  <c r="X67" i="1"/>
  <c r="X75" i="1"/>
  <c r="X103" i="1"/>
  <c r="X116" i="1"/>
  <c r="X125" i="1"/>
  <c r="X164" i="1"/>
  <c r="X173" i="1"/>
  <c r="X183" i="1"/>
  <c r="X195" i="1"/>
  <c r="X203" i="1"/>
  <c r="X213" i="1"/>
  <c r="X229" i="1"/>
  <c r="X240" i="1"/>
  <c r="X266" i="1"/>
  <c r="X278" i="1"/>
  <c r="X349" i="1"/>
  <c r="X357" i="1"/>
  <c r="X365" i="1"/>
  <c r="X373" i="1"/>
  <c r="X381" i="1"/>
  <c r="V403" i="1"/>
  <c r="X401" i="1"/>
  <c r="X427" i="1"/>
  <c r="V450" i="1"/>
  <c r="X448" i="1"/>
  <c r="X8" i="1"/>
  <c r="X16" i="1"/>
  <c r="X42" i="1"/>
  <c r="X61" i="1"/>
  <c r="X81" i="1"/>
  <c r="X94" i="1"/>
  <c r="X364" i="1"/>
  <c r="X440" i="1"/>
  <c r="X122" i="1"/>
  <c r="X189" i="1"/>
  <c r="X371" i="1"/>
  <c r="X77" i="1"/>
  <c r="X93" i="1"/>
  <c r="X117" i="1"/>
  <c r="X126" i="1"/>
  <c r="X139" i="1"/>
  <c r="X154" i="1"/>
  <c r="X165" i="1"/>
  <c r="X184" i="1"/>
  <c r="X196" i="1"/>
  <c r="X204" i="1"/>
  <c r="X241" i="1"/>
  <c r="X256" i="1"/>
  <c r="X267" i="1"/>
  <c r="X279" i="1"/>
  <c r="X291" i="1"/>
  <c r="X299" i="1"/>
  <c r="X307" i="1"/>
  <c r="X324" i="1"/>
  <c r="X332" i="1"/>
  <c r="X386" i="1"/>
  <c r="X402" i="1"/>
  <c r="X428" i="1"/>
  <c r="X9" i="1"/>
  <c r="X17" i="1"/>
  <c r="X25" i="1"/>
  <c r="X33" i="1"/>
  <c r="X43" i="1"/>
  <c r="X63" i="1"/>
  <c r="X85" i="1"/>
  <c r="X158" i="1"/>
  <c r="X200" i="1"/>
  <c r="X227" i="1"/>
  <c r="X372" i="1"/>
  <c r="X132" i="1"/>
  <c r="X304" i="1"/>
  <c r="X78" i="1"/>
  <c r="X105" i="1"/>
  <c r="X118" i="1"/>
  <c r="X175" i="1"/>
  <c r="X197" i="1"/>
  <c r="X205" i="1"/>
  <c r="X223" i="1"/>
  <c r="X231" i="1"/>
  <c r="X257" i="1"/>
  <c r="X268" i="1"/>
  <c r="X280" i="1"/>
  <c r="X292" i="1"/>
  <c r="X300" i="1"/>
  <c r="X308" i="1"/>
  <c r="X325" i="1"/>
  <c r="X336" i="1"/>
  <c r="X351" i="1"/>
  <c r="X359" i="1"/>
  <c r="X367" i="1"/>
  <c r="X375" i="1"/>
  <c r="X387" i="1"/>
  <c r="X406" i="1"/>
  <c r="X170" i="1"/>
  <c r="X18" i="1"/>
  <c r="X26" i="1"/>
  <c r="X34" i="1"/>
  <c r="X44" i="1"/>
  <c r="X64" i="1"/>
  <c r="X138" i="1"/>
  <c r="X166" i="1"/>
  <c r="X209" i="1"/>
  <c r="X235" i="1"/>
  <c r="X255" i="1"/>
  <c r="X314" i="1"/>
  <c r="AB211" i="1"/>
  <c r="AB216" i="1" s="1"/>
  <c r="X73" i="1"/>
  <c r="X149" i="1"/>
  <c r="X210" i="1"/>
  <c r="X355" i="1"/>
  <c r="K338" i="1"/>
  <c r="AB338" i="1"/>
  <c r="AB341" i="1" s="1"/>
  <c r="AB383" i="1" s="1"/>
  <c r="X70" i="1"/>
  <c r="X80" i="1"/>
  <c r="X95" i="1"/>
  <c r="X106" i="1"/>
  <c r="X119" i="1"/>
  <c r="X129" i="1"/>
  <c r="X146" i="1"/>
  <c r="X159" i="1"/>
  <c r="X167" i="1"/>
  <c r="X176" i="1"/>
  <c r="X186" i="1"/>
  <c r="X198" i="1"/>
  <c r="X224" i="1"/>
  <c r="X232" i="1"/>
  <c r="X258" i="1"/>
  <c r="V284" i="1"/>
  <c r="X283" i="1"/>
  <c r="X293" i="1"/>
  <c r="X301" i="1"/>
  <c r="X326" i="1"/>
  <c r="X337" i="1"/>
  <c r="X352" i="1"/>
  <c r="X360" i="1"/>
  <c r="X368" i="1"/>
  <c r="X376" i="1"/>
  <c r="X389" i="1"/>
  <c r="X407" i="1"/>
  <c r="V434" i="1"/>
  <c r="X433" i="1"/>
  <c r="X19" i="1"/>
  <c r="X27" i="1"/>
  <c r="X35" i="1"/>
  <c r="X45" i="1"/>
  <c r="X65" i="1"/>
  <c r="X102" i="1"/>
  <c r="X174" i="1"/>
  <c r="X264" i="1"/>
  <c r="X289" i="1"/>
  <c r="X109" i="1"/>
  <c r="X180" i="1"/>
  <c r="X288" i="1"/>
  <c r="X392" i="1"/>
  <c r="X54" i="1"/>
  <c r="X62" i="1"/>
  <c r="X71" i="1"/>
  <c r="X96" i="1"/>
  <c r="X107" i="1"/>
  <c r="X130" i="1"/>
  <c r="X147" i="1"/>
  <c r="X160" i="1"/>
  <c r="X168" i="1"/>
  <c r="X187" i="1"/>
  <c r="X199" i="1"/>
  <c r="X208" i="1"/>
  <c r="X225" i="1"/>
  <c r="X233" i="1"/>
  <c r="X247" i="1"/>
  <c r="X262" i="1"/>
  <c r="X274" i="1"/>
  <c r="X286" i="1"/>
  <c r="X294" i="1"/>
  <c r="X302" i="1"/>
  <c r="X315" i="1"/>
  <c r="X327" i="1"/>
  <c r="X339" i="1"/>
  <c r="X353" i="1"/>
  <c r="X361" i="1"/>
  <c r="X369" i="1"/>
  <c r="X377" i="1"/>
  <c r="V414" i="1"/>
  <c r="X414" i="1" s="1"/>
  <c r="X412" i="1"/>
  <c r="X20" i="1"/>
  <c r="X28" i="1"/>
  <c r="X46" i="1"/>
  <c r="X56" i="1"/>
  <c r="X68" i="1"/>
  <c r="X297" i="1"/>
  <c r="X82" i="1"/>
  <c r="X98" i="1"/>
  <c r="X108" i="1"/>
  <c r="X121" i="1"/>
  <c r="X131" i="1"/>
  <c r="X178" i="1"/>
  <c r="X188" i="1"/>
  <c r="X226" i="1"/>
  <c r="X234" i="1"/>
  <c r="X248" i="1"/>
  <c r="X263" i="1"/>
  <c r="X275" i="1"/>
  <c r="X287" i="1"/>
  <c r="X295" i="1"/>
  <c r="X303" i="1"/>
  <c r="X346" i="1"/>
  <c r="X354" i="1"/>
  <c r="X362" i="1"/>
  <c r="X370" i="1"/>
  <c r="X378" i="1"/>
  <c r="X391" i="1"/>
  <c r="X418" i="1"/>
  <c r="X259" i="1"/>
  <c r="X29" i="1"/>
  <c r="X69" i="1"/>
  <c r="AC111" i="1"/>
  <c r="Y86" i="1"/>
  <c r="Y455" i="1" s="1"/>
  <c r="Y469" i="1" s="1"/>
  <c r="AC452" i="1"/>
  <c r="AB236" i="1"/>
  <c r="AB270" i="1" s="1"/>
  <c r="AA452" i="1"/>
  <c r="Z452" i="1"/>
  <c r="AA310" i="1"/>
  <c r="AA396" i="1" s="1"/>
  <c r="AC37" i="1"/>
  <c r="AC50" i="1" s="1"/>
  <c r="AB333" i="1"/>
  <c r="Z310" i="1"/>
  <c r="Z396" i="1" s="1"/>
  <c r="AB48" i="1"/>
  <c r="AB316" i="1"/>
  <c r="AB382" i="1"/>
  <c r="AB110" i="1"/>
  <c r="AB310" i="1"/>
  <c r="AB11" i="1"/>
  <c r="AC216" i="1"/>
  <c r="Y452" i="1"/>
  <c r="Y50" i="1"/>
  <c r="Z50" i="1"/>
  <c r="Z86" i="1"/>
  <c r="Z455" i="1" s="1"/>
  <c r="Z469" i="1" s="1"/>
  <c r="AA50" i="1"/>
  <c r="AA86" i="1"/>
  <c r="AA455" i="1" s="1"/>
  <c r="AA469" i="1" s="1"/>
  <c r="Y396" i="1"/>
  <c r="U310" i="1"/>
  <c r="U396" i="1" s="1"/>
  <c r="V316" i="1"/>
  <c r="T255" i="1"/>
  <c r="T96" i="1"/>
  <c r="T94" i="1"/>
  <c r="T412" i="1"/>
  <c r="T348" i="1"/>
  <c r="T375" i="1"/>
  <c r="T337" i="1"/>
  <c r="T254" i="1"/>
  <c r="V333" i="1"/>
  <c r="V445" i="1"/>
  <c r="T81" i="1"/>
  <c r="T129" i="1"/>
  <c r="T169" i="1"/>
  <c r="S111" i="1"/>
  <c r="T32" i="1"/>
  <c r="T105" i="1"/>
  <c r="T186" i="1"/>
  <c r="T287" i="1"/>
  <c r="T353" i="1"/>
  <c r="T226" i="1"/>
  <c r="T262" i="1"/>
  <c r="T380" i="1"/>
  <c r="T428" i="1"/>
  <c r="V48" i="1"/>
  <c r="S141" i="1"/>
  <c r="T40" i="1"/>
  <c r="T200" i="1"/>
  <c r="V191" i="1"/>
  <c r="O310" i="1"/>
  <c r="T393" i="1"/>
  <c r="AB393" i="1" s="1"/>
  <c r="T407" i="1"/>
  <c r="T417" i="1"/>
  <c r="V430" i="1"/>
  <c r="T24" i="1"/>
  <c r="T121" i="1"/>
  <c r="W216" i="1"/>
  <c r="V408" i="1"/>
  <c r="T331" i="1"/>
  <c r="T56" i="1"/>
  <c r="T308" i="1"/>
  <c r="W36" i="1"/>
  <c r="W37" i="1"/>
  <c r="T214" i="1"/>
  <c r="T241" i="1"/>
  <c r="T256" i="1"/>
  <c r="T267" i="1"/>
  <c r="T293" i="1"/>
  <c r="T301" i="1"/>
  <c r="T350" i="1"/>
  <c r="T358" i="1"/>
  <c r="T366" i="1"/>
  <c r="T374" i="1"/>
  <c r="T386" i="1"/>
  <c r="T402" i="1"/>
  <c r="T427" i="1"/>
  <c r="T8" i="1"/>
  <c r="T16" i="1"/>
  <c r="T25" i="1"/>
  <c r="T33" i="1"/>
  <c r="T41" i="1"/>
  <c r="T57" i="1"/>
  <c r="T65" i="1"/>
  <c r="T74" i="1"/>
  <c r="T82" i="1"/>
  <c r="T98" i="1"/>
  <c r="T106" i="1"/>
  <c r="T122" i="1"/>
  <c r="T130" i="1"/>
  <c r="T171" i="1"/>
  <c r="T202" i="1"/>
  <c r="T227" i="1"/>
  <c r="T257" i="1"/>
  <c r="T273" i="1"/>
  <c r="T289" i="1"/>
  <c r="T321" i="1"/>
  <c r="T356" i="1"/>
  <c r="T377" i="1"/>
  <c r="T441" i="1"/>
  <c r="V338" i="1"/>
  <c r="T240" i="1"/>
  <c r="T185" i="1"/>
  <c r="T223" i="1"/>
  <c r="T231" i="1"/>
  <c r="T336" i="1"/>
  <c r="T406" i="1"/>
  <c r="T9" i="1"/>
  <c r="T26" i="1"/>
  <c r="T34" i="1"/>
  <c r="T42" i="1"/>
  <c r="T67" i="1"/>
  <c r="T75" i="1"/>
  <c r="T83" i="1"/>
  <c r="T107" i="1"/>
  <c r="T115" i="1"/>
  <c r="T131" i="1"/>
  <c r="T173" i="1"/>
  <c r="T189" i="1"/>
  <c r="T203" i="1"/>
  <c r="T229" i="1"/>
  <c r="T276" i="1"/>
  <c r="T292" i="1"/>
  <c r="T324" i="1"/>
  <c r="T359" i="1"/>
  <c r="K179" i="1"/>
  <c r="K192" i="1" s="1"/>
  <c r="V179" i="1"/>
  <c r="T146" i="1"/>
  <c r="T198" i="1"/>
  <c r="R211" i="1"/>
  <c r="T207" i="1"/>
  <c r="T283" i="1"/>
  <c r="T326" i="1"/>
  <c r="T389" i="1"/>
  <c r="T429" i="1"/>
  <c r="R49" i="1"/>
  <c r="T10" i="1"/>
  <c r="T18" i="1"/>
  <c r="T27" i="1"/>
  <c r="T35" i="1"/>
  <c r="T43" i="1"/>
  <c r="T59" i="1"/>
  <c r="T68" i="1"/>
  <c r="T84" i="1"/>
  <c r="T100" i="1"/>
  <c r="T108" i="1"/>
  <c r="T116" i="1"/>
  <c r="T124" i="1"/>
  <c r="T132" i="1"/>
  <c r="T145" i="1"/>
  <c r="T176" i="1"/>
  <c r="T205" i="1"/>
  <c r="T232" i="1"/>
  <c r="T246" i="1"/>
  <c r="T279" i="1"/>
  <c r="T295" i="1"/>
  <c r="T361" i="1"/>
  <c r="T433" i="1"/>
  <c r="T138" i="1"/>
  <c r="P86" i="1"/>
  <c r="P455" i="1" s="1"/>
  <c r="P469" i="1" s="1"/>
  <c r="R179" i="1"/>
  <c r="T225" i="1"/>
  <c r="T233" i="1"/>
  <c r="T247" i="1"/>
  <c r="T274" i="1"/>
  <c r="T288" i="1"/>
  <c r="T296" i="1"/>
  <c r="T304" i="1"/>
  <c r="T315" i="1"/>
  <c r="T339" i="1"/>
  <c r="R135" i="1"/>
  <c r="V135" i="1"/>
  <c r="T19" i="1"/>
  <c r="T28" i="1"/>
  <c r="T44" i="1"/>
  <c r="T60" i="1"/>
  <c r="T69" i="1"/>
  <c r="T85" i="1"/>
  <c r="T93" i="1"/>
  <c r="T117" i="1"/>
  <c r="T125" i="1"/>
  <c r="T134" i="1"/>
  <c r="T147" i="1"/>
  <c r="T161" i="1"/>
  <c r="T178" i="1"/>
  <c r="T208" i="1"/>
  <c r="T234" i="1"/>
  <c r="T265" i="1"/>
  <c r="T297" i="1"/>
  <c r="T329" i="1"/>
  <c r="T364" i="1"/>
  <c r="T183" i="1"/>
  <c r="T444" i="1"/>
  <c r="T73" i="1"/>
  <c r="T188" i="1"/>
  <c r="T209" i="1"/>
  <c r="T328" i="1"/>
  <c r="T370" i="1"/>
  <c r="T378" i="1"/>
  <c r="T440" i="1"/>
  <c r="N419" i="1"/>
  <c r="N452" i="1" s="1"/>
  <c r="V417" i="1"/>
  <c r="T29" i="1"/>
  <c r="T45" i="1"/>
  <c r="T102" i="1"/>
  <c r="T150" i="1"/>
  <c r="T162" i="1"/>
  <c r="T210" i="1"/>
  <c r="T268" i="1"/>
  <c r="T300" i="1"/>
  <c r="T332" i="1"/>
  <c r="T367" i="1"/>
  <c r="T423" i="1"/>
  <c r="T448" i="1"/>
  <c r="T149" i="1"/>
  <c r="T201" i="1"/>
  <c r="T253" i="1"/>
  <c r="T264" i="1"/>
  <c r="T290" i="1"/>
  <c r="T298" i="1"/>
  <c r="T306" i="1"/>
  <c r="T347" i="1"/>
  <c r="T355" i="1"/>
  <c r="T363" i="1"/>
  <c r="T371" i="1"/>
  <c r="T379" i="1"/>
  <c r="T392" i="1"/>
  <c r="T418" i="1"/>
  <c r="T22" i="1"/>
  <c r="T30" i="1"/>
  <c r="T46" i="1"/>
  <c r="T54" i="1"/>
  <c r="T62" i="1"/>
  <c r="T71" i="1"/>
  <c r="T95" i="1"/>
  <c r="T103" i="1"/>
  <c r="T127" i="1"/>
  <c r="T139" i="1"/>
  <c r="T153" i="1"/>
  <c r="T164" i="1"/>
  <c r="T181" i="1"/>
  <c r="T195" i="1"/>
  <c r="T303" i="1"/>
  <c r="T369" i="1"/>
  <c r="T323" i="1"/>
  <c r="K335" i="1"/>
  <c r="M335" i="1" s="1"/>
  <c r="V335" i="1"/>
  <c r="T165" i="1"/>
  <c r="T174" i="1"/>
  <c r="T212" i="1"/>
  <c r="T228" i="1"/>
  <c r="T277" i="1"/>
  <c r="T422" i="1"/>
  <c r="T14" i="1"/>
  <c r="T47" i="1"/>
  <c r="T55" i="1"/>
  <c r="T63" i="1"/>
  <c r="T72" i="1"/>
  <c r="T167" i="1"/>
  <c r="T184" i="1"/>
  <c r="T197" i="1"/>
  <c r="T305" i="1"/>
  <c r="T351" i="1"/>
  <c r="T372" i="1"/>
  <c r="T391" i="1"/>
  <c r="T401" i="1"/>
  <c r="V249" i="1"/>
  <c r="U452" i="1"/>
  <c r="U86" i="1"/>
  <c r="U455" i="1" s="1"/>
  <c r="U469" i="1" s="1"/>
  <c r="W452" i="1"/>
  <c r="V236" i="1"/>
  <c r="V242" i="1"/>
  <c r="V49" i="1"/>
  <c r="X49" i="1" s="1"/>
  <c r="V281" i="1"/>
  <c r="V382" i="1"/>
  <c r="W310" i="1"/>
  <c r="V11" i="1"/>
  <c r="X11" i="1" s="1"/>
  <c r="V110" i="1"/>
  <c r="X110" i="1" s="1"/>
  <c r="U50" i="1"/>
  <c r="W111" i="1"/>
  <c r="W141" i="1"/>
  <c r="W270" i="1"/>
  <c r="R249" i="1"/>
  <c r="Q86" i="1"/>
  <c r="Q455" i="1" s="1"/>
  <c r="Q469" i="1" s="1"/>
  <c r="R338" i="1"/>
  <c r="P310" i="1"/>
  <c r="P396" i="1" s="1"/>
  <c r="Q310" i="1"/>
  <c r="Q396" i="1" s="1"/>
  <c r="R335" i="1"/>
  <c r="N140" i="1"/>
  <c r="N86" i="1"/>
  <c r="N455" i="1" s="1"/>
  <c r="N469" i="1" s="1"/>
  <c r="O394" i="1"/>
  <c r="P452" i="1"/>
  <c r="Q452" i="1"/>
  <c r="Q50" i="1"/>
  <c r="P50" i="1"/>
  <c r="N310" i="1"/>
  <c r="N396" i="1" s="1"/>
  <c r="M372" i="1"/>
  <c r="S37" i="1"/>
  <c r="S36" i="1"/>
  <c r="S310" i="1"/>
  <c r="O50" i="1"/>
  <c r="K206" i="1"/>
  <c r="O86" i="1"/>
  <c r="O455" i="1" s="1"/>
  <c r="O469" i="1" s="1"/>
  <c r="S79" i="1"/>
  <c r="O452" i="1"/>
  <c r="S216" i="1"/>
  <c r="N50" i="1"/>
  <c r="S452" i="1"/>
  <c r="M45" i="1"/>
  <c r="L49" i="1"/>
  <c r="J49" i="1"/>
  <c r="J48" i="1"/>
  <c r="I49" i="1"/>
  <c r="H49" i="1"/>
  <c r="L450" i="1"/>
  <c r="L445" i="1"/>
  <c r="L434" i="1"/>
  <c r="L430" i="1"/>
  <c r="L424" i="1"/>
  <c r="L419" i="1"/>
  <c r="L414" i="1"/>
  <c r="L408" i="1"/>
  <c r="L403" i="1"/>
  <c r="L394" i="1"/>
  <c r="L382" i="1"/>
  <c r="L341" i="1"/>
  <c r="L383" i="1" s="1"/>
  <c r="L333" i="1"/>
  <c r="L316" i="1"/>
  <c r="L284" i="1"/>
  <c r="L281" i="1"/>
  <c r="L242" i="1"/>
  <c r="L236" i="1"/>
  <c r="L215" i="1"/>
  <c r="L216" i="1" s="1"/>
  <c r="L192" i="1"/>
  <c r="L191" i="1"/>
  <c r="L155" i="1"/>
  <c r="L140" i="1"/>
  <c r="L141" i="1"/>
  <c r="L111" i="1"/>
  <c r="L110" i="1"/>
  <c r="L48" i="1"/>
  <c r="L37" i="1"/>
  <c r="L36" i="1"/>
  <c r="L11" i="1"/>
  <c r="J450" i="1"/>
  <c r="J445" i="1"/>
  <c r="J434" i="1"/>
  <c r="J430" i="1"/>
  <c r="J424" i="1"/>
  <c r="J419" i="1"/>
  <c r="J414" i="1"/>
  <c r="J408" i="1"/>
  <c r="J403" i="1"/>
  <c r="J394" i="1"/>
  <c r="J382" i="1"/>
  <c r="J341" i="1"/>
  <c r="J383" i="1" s="1"/>
  <c r="J333" i="1"/>
  <c r="J316" i="1"/>
  <c r="J284" i="1"/>
  <c r="J281" i="1"/>
  <c r="J242" i="1"/>
  <c r="J270" i="1" s="1"/>
  <c r="J215" i="1"/>
  <c r="J216" i="1" s="1"/>
  <c r="J192" i="1"/>
  <c r="J191" i="1"/>
  <c r="J155" i="1"/>
  <c r="J140" i="1"/>
  <c r="J141" i="1"/>
  <c r="J111" i="1"/>
  <c r="J110" i="1"/>
  <c r="J79" i="1"/>
  <c r="J37" i="1"/>
  <c r="J36" i="1"/>
  <c r="J11" i="1"/>
  <c r="I450" i="1"/>
  <c r="I445" i="1"/>
  <c r="I434" i="1"/>
  <c r="I430" i="1"/>
  <c r="I424" i="1"/>
  <c r="I419" i="1"/>
  <c r="I414" i="1"/>
  <c r="I408" i="1"/>
  <c r="I403" i="1"/>
  <c r="I394" i="1"/>
  <c r="I382" i="1"/>
  <c r="I341" i="1"/>
  <c r="I383" i="1" s="1"/>
  <c r="I333" i="1"/>
  <c r="I316" i="1"/>
  <c r="I284" i="1"/>
  <c r="I281" i="1"/>
  <c r="I242" i="1"/>
  <c r="I270" i="1" s="1"/>
  <c r="I215" i="1"/>
  <c r="I216" i="1" s="1"/>
  <c r="I192" i="1"/>
  <c r="I191" i="1"/>
  <c r="I155" i="1"/>
  <c r="I141" i="1"/>
  <c r="I140" i="1"/>
  <c r="I111" i="1"/>
  <c r="I110" i="1"/>
  <c r="I79" i="1"/>
  <c r="I48" i="1"/>
  <c r="I36" i="1"/>
  <c r="I11" i="1"/>
  <c r="M46" i="1"/>
  <c r="M44" i="1"/>
  <c r="M43" i="1"/>
  <c r="M42" i="1"/>
  <c r="M4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4" i="1"/>
  <c r="K8" i="1"/>
  <c r="K11" i="1" s="1"/>
  <c r="K450" i="1"/>
  <c r="K445" i="1"/>
  <c r="K434" i="1"/>
  <c r="K430" i="1"/>
  <c r="K424" i="1"/>
  <c r="K419" i="1"/>
  <c r="K414" i="1"/>
  <c r="K408" i="1"/>
  <c r="K403" i="1"/>
  <c r="K382" i="1"/>
  <c r="K333" i="1"/>
  <c r="K316" i="1"/>
  <c r="K284" i="1"/>
  <c r="K281" i="1"/>
  <c r="K242" i="1"/>
  <c r="K236" i="1"/>
  <c r="K215" i="1"/>
  <c r="K191" i="1"/>
  <c r="K110" i="1"/>
  <c r="M453" i="1"/>
  <c r="M451" i="1"/>
  <c r="M449" i="1"/>
  <c r="M448" i="1"/>
  <c r="R450" i="1" s="1"/>
  <c r="M447" i="1"/>
  <c r="M446" i="1"/>
  <c r="M444" i="1"/>
  <c r="M442" i="1"/>
  <c r="M441" i="1"/>
  <c r="M440" i="1"/>
  <c r="M439" i="1"/>
  <c r="M438" i="1"/>
  <c r="M437" i="1"/>
  <c r="M436" i="1"/>
  <c r="M435" i="1"/>
  <c r="M433" i="1"/>
  <c r="R434" i="1" s="1"/>
  <c r="M432" i="1"/>
  <c r="M431" i="1"/>
  <c r="M429" i="1"/>
  <c r="R430" i="1" s="1"/>
  <c r="M428" i="1"/>
  <c r="M427" i="1"/>
  <c r="M426" i="1"/>
  <c r="M425" i="1"/>
  <c r="M423" i="1"/>
  <c r="M422" i="1"/>
  <c r="M421" i="1"/>
  <c r="M420" i="1"/>
  <c r="M418" i="1"/>
  <c r="M417" i="1"/>
  <c r="R419" i="1" s="1"/>
  <c r="M416" i="1"/>
  <c r="M415" i="1"/>
  <c r="M412" i="1"/>
  <c r="R414" i="1" s="1"/>
  <c r="M411" i="1"/>
  <c r="M410" i="1"/>
  <c r="M409" i="1"/>
  <c r="M407" i="1"/>
  <c r="R408" i="1" s="1"/>
  <c r="M406" i="1"/>
  <c r="M405" i="1"/>
  <c r="M404" i="1"/>
  <c r="M402" i="1"/>
  <c r="R403" i="1" s="1"/>
  <c r="T403" i="1" s="1"/>
  <c r="M401" i="1"/>
  <c r="M400" i="1"/>
  <c r="M399" i="1"/>
  <c r="M398" i="1"/>
  <c r="M397" i="1"/>
  <c r="M395" i="1"/>
  <c r="M393" i="1"/>
  <c r="M392" i="1"/>
  <c r="M391" i="1"/>
  <c r="M390" i="1"/>
  <c r="M389" i="1"/>
  <c r="M387" i="1"/>
  <c r="M386" i="1"/>
  <c r="M385" i="1"/>
  <c r="M384" i="1"/>
  <c r="M381" i="1"/>
  <c r="M380" i="1"/>
  <c r="M379" i="1"/>
  <c r="M378" i="1"/>
  <c r="M377" i="1"/>
  <c r="M376" i="1"/>
  <c r="M375" i="1"/>
  <c r="M374" i="1"/>
  <c r="M373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0" i="1"/>
  <c r="M339" i="1"/>
  <c r="M338" i="1"/>
  <c r="M337" i="1"/>
  <c r="M336" i="1"/>
  <c r="M334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5" i="1"/>
  <c r="M314" i="1"/>
  <c r="M313" i="1"/>
  <c r="M312" i="1"/>
  <c r="M311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3" i="1"/>
  <c r="R284" i="1" s="1"/>
  <c r="M282" i="1"/>
  <c r="M280" i="1"/>
  <c r="M279" i="1"/>
  <c r="M278" i="1"/>
  <c r="M277" i="1"/>
  <c r="M276" i="1"/>
  <c r="M275" i="1"/>
  <c r="M274" i="1"/>
  <c r="M273" i="1"/>
  <c r="M272" i="1"/>
  <c r="M271" i="1"/>
  <c r="M269" i="1"/>
  <c r="M268" i="1"/>
  <c r="M267" i="1"/>
  <c r="M266" i="1"/>
  <c r="M265" i="1"/>
  <c r="M264" i="1"/>
  <c r="M263" i="1"/>
  <c r="M262" i="1"/>
  <c r="M258" i="1"/>
  <c r="M257" i="1"/>
  <c r="M256" i="1"/>
  <c r="M255" i="1"/>
  <c r="M254" i="1"/>
  <c r="M253" i="1"/>
  <c r="M252" i="1"/>
  <c r="M251" i="1"/>
  <c r="M250" i="1"/>
  <c r="M249" i="1"/>
  <c r="M247" i="1"/>
  <c r="M246" i="1"/>
  <c r="M241" i="1"/>
  <c r="M240" i="1"/>
  <c r="M239" i="1"/>
  <c r="M238" i="1"/>
  <c r="M237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4" i="1"/>
  <c r="M213" i="1"/>
  <c r="M212" i="1"/>
  <c r="M211" i="1"/>
  <c r="M210" i="1"/>
  <c r="M209" i="1"/>
  <c r="M208" i="1"/>
  <c r="M207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0" i="1"/>
  <c r="M189" i="1"/>
  <c r="M188" i="1"/>
  <c r="M187" i="1"/>
  <c r="M186" i="1"/>
  <c r="M185" i="1"/>
  <c r="M184" i="1"/>
  <c r="M183" i="1"/>
  <c r="M182" i="1"/>
  <c r="M181" i="1"/>
  <c r="M180" i="1"/>
  <c r="M178" i="1"/>
  <c r="M177" i="1"/>
  <c r="M176" i="1"/>
  <c r="M175" i="1"/>
  <c r="M174" i="1"/>
  <c r="M173" i="1"/>
  <c r="M172" i="1"/>
  <c r="M171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4" i="1"/>
  <c r="M153" i="1"/>
  <c r="M150" i="1"/>
  <c r="M149" i="1"/>
  <c r="M148" i="1"/>
  <c r="M147" i="1"/>
  <c r="M146" i="1"/>
  <c r="M145" i="1"/>
  <c r="M144" i="1"/>
  <c r="M143" i="1"/>
  <c r="M142" i="1"/>
  <c r="M139" i="1"/>
  <c r="M138" i="1"/>
  <c r="M135" i="1"/>
  <c r="M134" i="1"/>
  <c r="M132" i="1"/>
  <c r="M131" i="1"/>
  <c r="M130" i="1"/>
  <c r="M129" i="1"/>
  <c r="M128" i="1"/>
  <c r="M127" i="1"/>
  <c r="M126" i="1"/>
  <c r="M125" i="1"/>
  <c r="M124" i="1"/>
  <c r="M122" i="1"/>
  <c r="M121" i="1"/>
  <c r="M120" i="1"/>
  <c r="M117" i="1"/>
  <c r="M116" i="1"/>
  <c r="M115" i="1"/>
  <c r="M114" i="1"/>
  <c r="M113" i="1"/>
  <c r="M112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6" i="1"/>
  <c r="M95" i="1"/>
  <c r="M94" i="1"/>
  <c r="M93" i="1"/>
  <c r="M92" i="1"/>
  <c r="M91" i="1"/>
  <c r="M90" i="1"/>
  <c r="M89" i="1"/>
  <c r="M88" i="1"/>
  <c r="M87" i="1"/>
  <c r="M85" i="1"/>
  <c r="M84" i="1"/>
  <c r="M83" i="1"/>
  <c r="M82" i="1"/>
  <c r="M81" i="1"/>
  <c r="M80" i="1"/>
  <c r="M78" i="1"/>
  <c r="R78" i="1" s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7" i="1"/>
  <c r="M39" i="1"/>
  <c r="M38" i="1"/>
  <c r="M35" i="1"/>
  <c r="M34" i="1"/>
  <c r="M32" i="1"/>
  <c r="M13" i="1"/>
  <c r="M12" i="1"/>
  <c r="M10" i="1"/>
  <c r="M9" i="1"/>
  <c r="M179" i="1" l="1"/>
  <c r="AA454" i="1"/>
  <c r="AA480" i="1" s="1"/>
  <c r="AA481" i="1" s="1"/>
  <c r="X206" i="1"/>
  <c r="AB452" i="1"/>
  <c r="V216" i="1"/>
  <c r="O396" i="1"/>
  <c r="O454" i="1" s="1"/>
  <c r="O480" i="1" s="1"/>
  <c r="O481" i="1" s="1"/>
  <c r="AC86" i="1"/>
  <c r="AC455" i="1" s="1"/>
  <c r="X382" i="1"/>
  <c r="Z454" i="1"/>
  <c r="Z456" i="1" s="1"/>
  <c r="X236" i="1"/>
  <c r="X335" i="1"/>
  <c r="V192" i="1"/>
  <c r="X179" i="1"/>
  <c r="X430" i="1"/>
  <c r="X48" i="1"/>
  <c r="X450" i="1"/>
  <c r="X424" i="1"/>
  <c r="X445" i="1"/>
  <c r="X338" i="1"/>
  <c r="X135" i="1"/>
  <c r="X408" i="1"/>
  <c r="Y454" i="1"/>
  <c r="Y456" i="1" s="1"/>
  <c r="X333" i="1"/>
  <c r="X316" i="1"/>
  <c r="X242" i="1"/>
  <c r="V310" i="1"/>
  <c r="X281" i="1"/>
  <c r="V419" i="1"/>
  <c r="V452" i="1" s="1"/>
  <c r="X417" i="1"/>
  <c r="X216" i="1"/>
  <c r="X249" i="1"/>
  <c r="X284" i="1"/>
  <c r="X191" i="1"/>
  <c r="X434" i="1"/>
  <c r="Q454" i="1"/>
  <c r="Q480" i="1" s="1"/>
  <c r="Q481" i="1" s="1"/>
  <c r="X403" i="1"/>
  <c r="AC396" i="1"/>
  <c r="AD396" i="1" s="1"/>
  <c r="AA456" i="1"/>
  <c r="W50" i="1"/>
  <c r="W86" i="1"/>
  <c r="V270" i="1"/>
  <c r="V341" i="1"/>
  <c r="T414" i="1"/>
  <c r="T434" i="1"/>
  <c r="T335" i="1"/>
  <c r="K341" i="1"/>
  <c r="K383" i="1" s="1"/>
  <c r="P454" i="1"/>
  <c r="P480" i="1" s="1"/>
  <c r="P481" i="1" s="1"/>
  <c r="U454" i="1"/>
  <c r="U456" i="1" s="1"/>
  <c r="T49" i="1"/>
  <c r="T78" i="1"/>
  <c r="T419" i="1"/>
  <c r="T338" i="1"/>
  <c r="T179" i="1"/>
  <c r="T408" i="1"/>
  <c r="T450" i="1"/>
  <c r="T135" i="1"/>
  <c r="T211" i="1"/>
  <c r="T249" i="1"/>
  <c r="T430" i="1"/>
  <c r="T284" i="1"/>
  <c r="W396" i="1"/>
  <c r="S86" i="1"/>
  <c r="S455" i="1" s="1"/>
  <c r="N454" i="1"/>
  <c r="N480" i="1" s="1"/>
  <c r="N481" i="1" s="1"/>
  <c r="R215" i="1"/>
  <c r="R242" i="1"/>
  <c r="M206" i="1"/>
  <c r="R341" i="1"/>
  <c r="R445" i="1"/>
  <c r="R424" i="1"/>
  <c r="R110" i="1"/>
  <c r="R236" i="1"/>
  <c r="R281" i="1"/>
  <c r="M281" i="1"/>
  <c r="M414" i="1"/>
  <c r="M284" i="1"/>
  <c r="R191" i="1"/>
  <c r="R333" i="1"/>
  <c r="R382" i="1"/>
  <c r="M424" i="1"/>
  <c r="R192" i="1"/>
  <c r="R206" i="1"/>
  <c r="R316" i="1"/>
  <c r="K216" i="1"/>
  <c r="S50" i="1"/>
  <c r="S270" i="1"/>
  <c r="K270" i="1"/>
  <c r="L270" i="1"/>
  <c r="I86" i="1"/>
  <c r="I455" i="1" s="1"/>
  <c r="I469" i="1" s="1"/>
  <c r="M333" i="1"/>
  <c r="M242" i="1"/>
  <c r="M382" i="1"/>
  <c r="K49" i="1"/>
  <c r="M236" i="1"/>
  <c r="M192" i="1"/>
  <c r="M419" i="1"/>
  <c r="M445" i="1"/>
  <c r="I310" i="1"/>
  <c r="I396" i="1" s="1"/>
  <c r="M434" i="1"/>
  <c r="J310" i="1"/>
  <c r="J396" i="1" s="1"/>
  <c r="M191" i="1"/>
  <c r="M215" i="1"/>
  <c r="M430" i="1"/>
  <c r="M316" i="1"/>
  <c r="M408" i="1"/>
  <c r="K310" i="1"/>
  <c r="K452" i="1"/>
  <c r="M110" i="1"/>
  <c r="L310" i="1"/>
  <c r="M403" i="1"/>
  <c r="M450" i="1"/>
  <c r="L50" i="1"/>
  <c r="J452" i="1"/>
  <c r="I452" i="1"/>
  <c r="J50" i="1"/>
  <c r="I50" i="1"/>
  <c r="J86" i="1"/>
  <c r="J455" i="1" s="1"/>
  <c r="J469" i="1" s="1"/>
  <c r="L79" i="1"/>
  <c r="L452" i="1"/>
  <c r="M8" i="1"/>
  <c r="M40" i="1"/>
  <c r="R48" i="1" s="1"/>
  <c r="K48" i="1"/>
  <c r="H388" i="1"/>
  <c r="H15" i="1"/>
  <c r="AB15" i="1" s="1"/>
  <c r="Z480" i="1" l="1"/>
  <c r="Z481" i="1" s="1"/>
  <c r="Q456" i="1"/>
  <c r="Y480" i="1"/>
  <c r="Y481" i="1" s="1"/>
  <c r="V388" i="1"/>
  <c r="AB388" i="1"/>
  <c r="AB394" i="1" s="1"/>
  <c r="X419" i="1"/>
  <c r="X452" i="1"/>
  <c r="X192" i="1"/>
  <c r="AB36" i="1"/>
  <c r="AB37" i="1"/>
  <c r="AB50" i="1" s="1"/>
  <c r="V383" i="1"/>
  <c r="X341" i="1"/>
  <c r="X310" i="1"/>
  <c r="X270" i="1"/>
  <c r="AC454" i="1"/>
  <c r="AC469" i="1"/>
  <c r="W455" i="1"/>
  <c r="U480" i="1"/>
  <c r="U481" i="1" s="1"/>
  <c r="M341" i="1"/>
  <c r="R310" i="1"/>
  <c r="T281" i="1"/>
  <c r="T215" i="1"/>
  <c r="T382" i="1"/>
  <c r="T236" i="1"/>
  <c r="P456" i="1"/>
  <c r="T110" i="1"/>
  <c r="T191" i="1"/>
  <c r="T424" i="1"/>
  <c r="R15" i="1"/>
  <c r="V15" i="1"/>
  <c r="T333" i="1"/>
  <c r="T445" i="1"/>
  <c r="T316" i="1"/>
  <c r="R383" i="1"/>
  <c r="T341" i="1"/>
  <c r="T48" i="1"/>
  <c r="T206" i="1"/>
  <c r="T192" i="1"/>
  <c r="R270" i="1"/>
  <c r="T242" i="1"/>
  <c r="W454" i="1"/>
  <c r="K388" i="1"/>
  <c r="M388" i="1" s="1"/>
  <c r="R388" i="1"/>
  <c r="N456" i="1"/>
  <c r="R452" i="1"/>
  <c r="R216" i="1"/>
  <c r="O456" i="1"/>
  <c r="M383" i="1"/>
  <c r="M49" i="1"/>
  <c r="M48" i="1"/>
  <c r="M11" i="1"/>
  <c r="R11" i="1"/>
  <c r="S469" i="1"/>
  <c r="S396" i="1"/>
  <c r="K15" i="1"/>
  <c r="H36" i="1"/>
  <c r="M270" i="1"/>
  <c r="M310" i="1"/>
  <c r="L396" i="1"/>
  <c r="L454" i="1" s="1"/>
  <c r="L480" i="1" s="1"/>
  <c r="M452" i="1"/>
  <c r="J454" i="1"/>
  <c r="J480" i="1" s="1"/>
  <c r="J481" i="1" s="1"/>
  <c r="I454" i="1"/>
  <c r="I480" i="1" s="1"/>
  <c r="I481" i="1" s="1"/>
  <c r="L86" i="1"/>
  <c r="L455" i="1" s="1"/>
  <c r="M216" i="1"/>
  <c r="H76" i="1"/>
  <c r="AC456" i="1" l="1"/>
  <c r="AD454" i="1"/>
  <c r="K394" i="1"/>
  <c r="M394" i="1" s="1"/>
  <c r="X15" i="1"/>
  <c r="X383" i="1"/>
  <c r="V76" i="1"/>
  <c r="AB76" i="1"/>
  <c r="AB79" i="1" s="1"/>
  <c r="AB86" i="1" s="1"/>
  <c r="AB455" i="1" s="1"/>
  <c r="V394" i="1"/>
  <c r="X388" i="1"/>
  <c r="AC480" i="1"/>
  <c r="AD480" i="1" s="1"/>
  <c r="W456" i="1"/>
  <c r="W469" i="1"/>
  <c r="R394" i="1"/>
  <c r="T11" i="1"/>
  <c r="T452" i="1"/>
  <c r="T388" i="1"/>
  <c r="T270" i="1"/>
  <c r="V36" i="1"/>
  <c r="V37" i="1"/>
  <c r="T15" i="1"/>
  <c r="T310" i="1"/>
  <c r="T383" i="1"/>
  <c r="T216" i="1"/>
  <c r="W480" i="1"/>
  <c r="K76" i="1"/>
  <c r="M76" i="1" s="1"/>
  <c r="R76" i="1"/>
  <c r="K37" i="1"/>
  <c r="S454" i="1"/>
  <c r="K36" i="1"/>
  <c r="M15" i="1"/>
  <c r="I456" i="1"/>
  <c r="J456" i="1"/>
  <c r="L469" i="1"/>
  <c r="L481" i="1" s="1"/>
  <c r="L456" i="1"/>
  <c r="H445" i="1"/>
  <c r="AB469" i="1" l="1"/>
  <c r="X36" i="1"/>
  <c r="V79" i="1"/>
  <c r="X76" i="1"/>
  <c r="X37" i="1"/>
  <c r="X394" i="1"/>
  <c r="AC481" i="1"/>
  <c r="T394" i="1"/>
  <c r="R79" i="1"/>
  <c r="T79" i="1" s="1"/>
  <c r="K79" i="1"/>
  <c r="K86" i="1" s="1"/>
  <c r="V50" i="1"/>
  <c r="T76" i="1"/>
  <c r="W481" i="1"/>
  <c r="R36" i="1"/>
  <c r="R37" i="1"/>
  <c r="K50" i="1"/>
  <c r="M36" i="1"/>
  <c r="M37" i="1"/>
  <c r="S480" i="1"/>
  <c r="S456" i="1"/>
  <c r="H110" i="1"/>
  <c r="M79" i="1" l="1"/>
  <c r="X79" i="1"/>
  <c r="X50" i="1"/>
  <c r="V86" i="1"/>
  <c r="R50" i="1"/>
  <c r="T37" i="1"/>
  <c r="T36" i="1"/>
  <c r="R86" i="1"/>
  <c r="K455" i="1"/>
  <c r="K469" i="1" s="1"/>
  <c r="M50" i="1"/>
  <c r="S481" i="1"/>
  <c r="M86" i="1"/>
  <c r="H151" i="1"/>
  <c r="H123" i="1"/>
  <c r="V151" i="1" l="1"/>
  <c r="AB151" i="1"/>
  <c r="AB155" i="1" s="1"/>
  <c r="V123" i="1"/>
  <c r="AB123" i="1"/>
  <c r="AB141" i="1" s="1"/>
  <c r="V455" i="1"/>
  <c r="X86" i="1"/>
  <c r="R455" i="1"/>
  <c r="T86" i="1"/>
  <c r="T50" i="1"/>
  <c r="K151" i="1"/>
  <c r="M151" i="1" s="1"/>
  <c r="R151" i="1"/>
  <c r="K123" i="1"/>
  <c r="R123" i="1"/>
  <c r="M469" i="1"/>
  <c r="M455" i="1"/>
  <c r="H133" i="1"/>
  <c r="AB133" i="1" s="1"/>
  <c r="AB140" i="1" s="1"/>
  <c r="X455" i="1" l="1"/>
  <c r="V469" i="1"/>
  <c r="X123" i="1"/>
  <c r="V155" i="1"/>
  <c r="X151" i="1"/>
  <c r="R155" i="1"/>
  <c r="T155" i="1" s="1"/>
  <c r="K155" i="1"/>
  <c r="M155" i="1" s="1"/>
  <c r="T123" i="1"/>
  <c r="R133" i="1"/>
  <c r="V133" i="1"/>
  <c r="R469" i="1"/>
  <c r="T455" i="1"/>
  <c r="T151" i="1"/>
  <c r="M123" i="1"/>
  <c r="H140" i="1"/>
  <c r="K133" i="1"/>
  <c r="H97" i="1"/>
  <c r="AB97" i="1" s="1"/>
  <c r="AB111" i="1" s="1"/>
  <c r="AB396" i="1" s="1"/>
  <c r="AB454" i="1" s="1"/>
  <c r="AB480" i="1" l="1"/>
  <c r="AB481" i="1" s="1"/>
  <c r="AB456" i="1"/>
  <c r="X155" i="1"/>
  <c r="X133" i="1"/>
  <c r="X469" i="1"/>
  <c r="T133" i="1"/>
  <c r="T469" i="1"/>
  <c r="V140" i="1"/>
  <c r="V141" i="1"/>
  <c r="R97" i="1"/>
  <c r="V97" i="1"/>
  <c r="K140" i="1"/>
  <c r="M133" i="1"/>
  <c r="K141" i="1"/>
  <c r="H111" i="1"/>
  <c r="K97" i="1"/>
  <c r="H450" i="1"/>
  <c r="H434" i="1"/>
  <c r="H430" i="1"/>
  <c r="H424" i="1"/>
  <c r="H419" i="1"/>
  <c r="H414" i="1"/>
  <c r="H408" i="1"/>
  <c r="H403" i="1"/>
  <c r="H394" i="1"/>
  <c r="H382" i="1"/>
  <c r="H341" i="1"/>
  <c r="H383" i="1" s="1"/>
  <c r="H333" i="1"/>
  <c r="H316" i="1"/>
  <c r="H284" i="1"/>
  <c r="H281" i="1"/>
  <c r="H242" i="1"/>
  <c r="H236" i="1"/>
  <c r="H215" i="1"/>
  <c r="H216" i="1" s="1"/>
  <c r="H192" i="1"/>
  <c r="H191" i="1"/>
  <c r="H155" i="1"/>
  <c r="H141" i="1"/>
  <c r="H79" i="1"/>
  <c r="H48" i="1"/>
  <c r="H37" i="1"/>
  <c r="H11" i="1"/>
  <c r="X141" i="1" l="1"/>
  <c r="V111" i="1"/>
  <c r="X97" i="1"/>
  <c r="X140" i="1"/>
  <c r="T97" i="1"/>
  <c r="R140" i="1"/>
  <c r="R141" i="1"/>
  <c r="M140" i="1"/>
  <c r="H270" i="1"/>
  <c r="M141" i="1"/>
  <c r="K111" i="1"/>
  <c r="M97" i="1"/>
  <c r="R111" i="1" s="1"/>
  <c r="H310" i="1"/>
  <c r="H50" i="1"/>
  <c r="H452" i="1"/>
  <c r="H86" i="1"/>
  <c r="H455" i="1" s="1"/>
  <c r="H469" i="1" s="1"/>
  <c r="X111" i="1" l="1"/>
  <c r="V396" i="1"/>
  <c r="T140" i="1"/>
  <c r="T141" i="1"/>
  <c r="T111" i="1"/>
  <c r="M111" i="1"/>
  <c r="R396" i="1"/>
  <c r="K396" i="1"/>
  <c r="H396" i="1"/>
  <c r="H454" i="1" s="1"/>
  <c r="H480" i="1" s="1"/>
  <c r="H481" i="1" s="1"/>
  <c r="V454" i="1" l="1"/>
  <c r="X396" i="1"/>
  <c r="R454" i="1"/>
  <c r="R480" i="1" s="1"/>
  <c r="T396" i="1"/>
  <c r="M396" i="1"/>
  <c r="K454" i="1"/>
  <c r="H456" i="1"/>
  <c r="X454" i="1" l="1"/>
  <c r="V480" i="1"/>
  <c r="V456" i="1"/>
  <c r="R456" i="1"/>
  <c r="R481" i="1"/>
  <c r="T480" i="1"/>
  <c r="T454" i="1"/>
  <c r="M454" i="1"/>
  <c r="K456" i="1"/>
  <c r="K480" i="1"/>
  <c r="V481" i="1" l="1"/>
  <c r="X480" i="1"/>
  <c r="K481" i="1"/>
  <c r="M480" i="1"/>
</calcChain>
</file>

<file path=xl/sharedStrings.xml><?xml version="1.0" encoding="utf-8"?>
<sst xmlns="http://schemas.openxmlformats.org/spreadsheetml/2006/main" count="495" uniqueCount="372">
  <si>
    <t xml:space="preserve"> </t>
  </si>
  <si>
    <t>Městská část Praha - Ďáblice</t>
  </si>
  <si>
    <t xml:space="preserve">Schválený </t>
  </si>
  <si>
    <t>Upravený ROZ</t>
  </si>
  <si>
    <t>Skutečnost</t>
  </si>
  <si>
    <t>Skut/RU</t>
  </si>
  <si>
    <t>BILANCE PŘÍJMŮ</t>
  </si>
  <si>
    <t>1. Neinvestiční dotace ze SR</t>
  </si>
  <si>
    <t>na výkon státní správy ZJ 900</t>
  </si>
  <si>
    <t xml:space="preserve">  </t>
  </si>
  <si>
    <t>Celkem</t>
  </si>
  <si>
    <t>2. Neinvestiční dotace z rozpočtu HMP</t>
  </si>
  <si>
    <t>předpokládaný výnos daně z nemovitosti</t>
  </si>
  <si>
    <t>souhrnný dotační vztah ZJ 921</t>
  </si>
  <si>
    <t>výnos ze skládky ZJ 950</t>
  </si>
  <si>
    <t>Skládka</t>
  </si>
  <si>
    <t>výnos ze skládky inflace</t>
  </si>
  <si>
    <t>dotace MLK UZ 81</t>
  </si>
  <si>
    <t>dotace pro ZŠ</t>
  </si>
  <si>
    <t>dotace ZOZ</t>
  </si>
  <si>
    <t xml:space="preserve">dotace z VHP </t>
  </si>
  <si>
    <t>výnos daně z příjmu</t>
  </si>
  <si>
    <t>Ponechané prostředky - Covid 19</t>
  </si>
  <si>
    <t>Ponechané prostředky - Výsadba stromů a alejí</t>
  </si>
  <si>
    <t>Celkem neinvestiční dotace včetně ponechaných dotací z let minulých</t>
  </si>
  <si>
    <t xml:space="preserve">Celkem čistý příjem neinvestičních dotací 2021 bez ponechaných dotací </t>
  </si>
  <si>
    <t>3. Účelové investiční dotace z rozpočtu HMP</t>
  </si>
  <si>
    <t>Dotace 2022 - Rekonstrukce Lékarna, ordinace, soc. služby ORG 80777</t>
  </si>
  <si>
    <t>Celkem investiční dotace včetně ponechaných dotací z let minulých</t>
  </si>
  <si>
    <t>Celkem čistý příjem investičních dotací 2021 - bez ponechaných dotací</t>
  </si>
  <si>
    <t>Dotace celkem</t>
  </si>
  <si>
    <t>4. Vlastní příjmy</t>
  </si>
  <si>
    <t>znečištění živ. prostředí</t>
  </si>
  <si>
    <t>poplatek ze psů</t>
  </si>
  <si>
    <t>zrušené místní poplatky</t>
  </si>
  <si>
    <t>zábor veř. prostranství</t>
  </si>
  <si>
    <t>poplatek z pobytu</t>
  </si>
  <si>
    <t>správní poplatky</t>
  </si>
  <si>
    <t>splátky půjčených prostředků od obyvatelstva</t>
  </si>
  <si>
    <t xml:space="preserve">příjmy z knihovny </t>
  </si>
  <si>
    <t>příjmy ze sociální komise</t>
  </si>
  <si>
    <t>příjmy z akcí MČ</t>
  </si>
  <si>
    <t>úroky</t>
  </si>
  <si>
    <t>příjmy z prodeje majetku</t>
  </si>
  <si>
    <t>příspěvky a náhrady</t>
  </si>
  <si>
    <t>neidentifikované příjmy</t>
  </si>
  <si>
    <t>Přijaté pojistné náhrady</t>
  </si>
  <si>
    <t>ostatní příjmy</t>
  </si>
  <si>
    <t>přijaté sankční platby</t>
  </si>
  <si>
    <t>dary</t>
  </si>
  <si>
    <t>ostatní přijaté vratky transferů</t>
  </si>
  <si>
    <t>Transfery z jiných ÚSC</t>
  </si>
  <si>
    <t>převod z fondu hospodářské činnosti</t>
  </si>
  <si>
    <t>finanční vypořádání</t>
  </si>
  <si>
    <t>ostatní převody z vlastních fondů (z SF)</t>
  </si>
  <si>
    <t>převod z vlastních rezervních účtů (z FRR)</t>
  </si>
  <si>
    <t>převody z rozpočtových účtů (do FRR a SF)</t>
  </si>
  <si>
    <t>PŘÍJMY před konsolidací CELKEM dle FIN</t>
  </si>
  <si>
    <t>BILANCE VÝDAJŮ</t>
  </si>
  <si>
    <t>A.  Neinvestiční výdaje</t>
  </si>
  <si>
    <t>Kap. 01 Rozvoj obce</t>
  </si>
  <si>
    <t>Zázemí Ďáblického parku -DDHM</t>
  </si>
  <si>
    <t>Multifunkční dům - služby  ORG 16</t>
  </si>
  <si>
    <t>Multifunkční dům - materiál ORG 16</t>
  </si>
  <si>
    <t>Multifunkční dům -DDHM ORG 16</t>
  </si>
  <si>
    <t>Zázemí Ďáblického parku -opravy</t>
  </si>
  <si>
    <t>Zázemí Ďáblického parku - služby</t>
  </si>
  <si>
    <t>THP - mzdové výdaje</t>
  </si>
  <si>
    <t>THP - pojištní sociální</t>
  </si>
  <si>
    <t>THP - pojištní zdravotní</t>
  </si>
  <si>
    <t>THP - telefonní služby</t>
  </si>
  <si>
    <t>THP - oděvy, obuv</t>
  </si>
  <si>
    <t>THP - ochranné pomůcky</t>
  </si>
  <si>
    <t>THP - drobný hmotný materiál</t>
  </si>
  <si>
    <t>THP - cestovné</t>
  </si>
  <si>
    <t>celkem THP služby</t>
  </si>
  <si>
    <t>Celkem Rozvoj obce</t>
  </si>
  <si>
    <t>Kap. 02 Městská infrastruktura</t>
  </si>
  <si>
    <t>odvádění a čištění vod</t>
  </si>
  <si>
    <t>čištění kanálů</t>
  </si>
  <si>
    <t>Neinvestiční transfery obyv. - transfery zabudované nádrže</t>
  </si>
  <si>
    <t>mzdy - dohody</t>
  </si>
  <si>
    <t>drobný hmotný majetek</t>
  </si>
  <si>
    <t>material</t>
  </si>
  <si>
    <t>služby - monitoring odpadů ZJ 950</t>
  </si>
  <si>
    <t>nákup služeb (odvoz odpadu, kontejnery) ZJ 950</t>
  </si>
  <si>
    <t>Opravy</t>
  </si>
  <si>
    <t>příspěvek obyv. na odpad (popelnice) ZJ 950</t>
  </si>
  <si>
    <t>služby - problematika hluku ZJ 950</t>
  </si>
  <si>
    <t>veřejná zeleň</t>
  </si>
  <si>
    <t>Povinné soc. zabezpečení</t>
  </si>
  <si>
    <t>Povinné pojištění na ZP</t>
  </si>
  <si>
    <t>nákup ostatních služeb</t>
  </si>
  <si>
    <t>nová zeleň - stromy UZ 118 služby</t>
  </si>
  <si>
    <t>opravy a údržba</t>
  </si>
  <si>
    <t>komise živ. prostředí</t>
  </si>
  <si>
    <t>celkem zeleň</t>
  </si>
  <si>
    <t>Celkem Městská infrastruktura</t>
  </si>
  <si>
    <t>Kap. 03 Doprava</t>
  </si>
  <si>
    <t>silnice</t>
  </si>
  <si>
    <t>el.energie</t>
  </si>
  <si>
    <t xml:space="preserve">služby </t>
  </si>
  <si>
    <t>údržba a oprava komunikací</t>
  </si>
  <si>
    <t>ostatní záležitosti pozemních komunikací</t>
  </si>
  <si>
    <t>oprava a údržba autobusových zastávek</t>
  </si>
  <si>
    <t>Celkem Doprava</t>
  </si>
  <si>
    <t>Kap. 04 Školství a mládež</t>
  </si>
  <si>
    <t xml:space="preserve">DHM </t>
  </si>
  <si>
    <t>služby pen.ústavů+poj.</t>
  </si>
  <si>
    <t>služby</t>
  </si>
  <si>
    <t>opravy a udržování MŠ</t>
  </si>
  <si>
    <t>opravy a udržování ZŠ</t>
  </si>
  <si>
    <t>příspěvek PO (ZŠ+MŠ)</t>
  </si>
  <si>
    <t>školské a kulturní akce užití duševního vlastnictví</t>
  </si>
  <si>
    <t>školské a kulturní akce materiál</t>
  </si>
  <si>
    <t>školské a kulturní akce nájemné</t>
  </si>
  <si>
    <t>školské a kulturní akce služby</t>
  </si>
  <si>
    <t>školské a kulturní akce občerstvení</t>
  </si>
  <si>
    <t>školské a kulturní akce nákup drobného majetku</t>
  </si>
  <si>
    <t>kompenzační příspěvky ZJ 950</t>
  </si>
  <si>
    <t>neinvestiční příspěvky (Hvězdárna)</t>
  </si>
  <si>
    <t xml:space="preserve">neinv. transfery sdružením </t>
  </si>
  <si>
    <t>dětská hřiště a klub</t>
  </si>
  <si>
    <t>dohody(mzdy)</t>
  </si>
  <si>
    <t>pojistné na soc.zabezpečení</t>
  </si>
  <si>
    <t>pojistné na zdrav.zab.</t>
  </si>
  <si>
    <t xml:space="preserve"> DHM-drobný dlouhodobý hmotný majetek</t>
  </si>
  <si>
    <t>materiál</t>
  </si>
  <si>
    <t>el. energie</t>
  </si>
  <si>
    <t>nájemné (hřiště Křížovníci)</t>
  </si>
  <si>
    <t>ostatní služby</t>
  </si>
  <si>
    <t>celkem hřiště</t>
  </si>
  <si>
    <t>Celkem Školství a mládež</t>
  </si>
  <si>
    <t>Kap. 05 Zdravotnictví a sociální oblast</t>
  </si>
  <si>
    <t>mzdy-dohody</t>
  </si>
  <si>
    <t>Povinné sociální zabezpečení</t>
  </si>
  <si>
    <t>nájemné</t>
  </si>
  <si>
    <t>za užití duševního vlastnictví</t>
  </si>
  <si>
    <t>Drobný hmotný majetek</t>
  </si>
  <si>
    <t>pohoštění</t>
  </si>
  <si>
    <t>dary hmotné</t>
  </si>
  <si>
    <t>ostatní výdaje sociální komise</t>
  </si>
  <si>
    <t>celkem sociální komise</t>
  </si>
  <si>
    <t>Rekonstrukce Lékárna,ordinace,soc. služby - drobný hmotný majetek</t>
  </si>
  <si>
    <t>Rekonstrukce Lékárna,ordinace,soc. služby - materiál</t>
  </si>
  <si>
    <t>Rekonstrukce Lékárna,ordinace,soc. služby - služby</t>
  </si>
  <si>
    <t>celkem Rekonstrukce Lékárna, ordinace, soc. služby</t>
  </si>
  <si>
    <t>Celkem Sociální věci</t>
  </si>
  <si>
    <t>Kap. 06 Kultura sport a cestovní ruch</t>
  </si>
  <si>
    <t>knihovna</t>
  </si>
  <si>
    <t>platy</t>
  </si>
  <si>
    <t>dohody o provedení práce</t>
  </si>
  <si>
    <t>odměny za užití duševního vlastnictví</t>
  </si>
  <si>
    <t>nákup knih</t>
  </si>
  <si>
    <t>DHM</t>
  </si>
  <si>
    <t>služby telekomunikací</t>
  </si>
  <si>
    <t>SW</t>
  </si>
  <si>
    <t>opravy, údržba</t>
  </si>
  <si>
    <t>celkem knihovna</t>
  </si>
  <si>
    <t>kronika</t>
  </si>
  <si>
    <t>odměna kronikáři</t>
  </si>
  <si>
    <t xml:space="preserve">materiál </t>
  </si>
  <si>
    <t>celkem kronika</t>
  </si>
  <si>
    <t>akce MČ - užití duševního vlastnictví</t>
  </si>
  <si>
    <t>akce MČ - DDHM</t>
  </si>
  <si>
    <t>akce MČ - materiál</t>
  </si>
  <si>
    <t>akce MČ - poštovní služby</t>
  </si>
  <si>
    <t>akce MČ služby</t>
  </si>
  <si>
    <t>skládka</t>
  </si>
  <si>
    <t>akce MČ nájemné</t>
  </si>
  <si>
    <t>produkce kultury VLNA,velký sál, OD ZJ 20</t>
  </si>
  <si>
    <t>sportovní komise- užití duš. vlastnictví</t>
  </si>
  <si>
    <t>sportovní komise- služby</t>
  </si>
  <si>
    <t>sportovní komise- materiál</t>
  </si>
  <si>
    <t>sportovní komise- nájemné</t>
  </si>
  <si>
    <t>sportovní komise- pohoštění</t>
  </si>
  <si>
    <t>příspěvky na činnost zájm.sdružením</t>
  </si>
  <si>
    <t>neinv. transfery sdružením  církevním sdružením</t>
  </si>
  <si>
    <t>ost.neinv. Transfery nezisk. Organizacím</t>
  </si>
  <si>
    <t>Celkem Kultura a sport</t>
  </si>
  <si>
    <t>Kap. 07 Bezpečnost</t>
  </si>
  <si>
    <t>Ochranné pomůcky</t>
  </si>
  <si>
    <t>Materiál</t>
  </si>
  <si>
    <t>Pohonné hmoty</t>
  </si>
  <si>
    <t>Ostatní služby</t>
  </si>
  <si>
    <t>Opravy a udržování</t>
  </si>
  <si>
    <t>Ostatní výdaje</t>
  </si>
  <si>
    <t>Dary obyvatelstvu</t>
  </si>
  <si>
    <t>celkem Covid 19</t>
  </si>
  <si>
    <t xml:space="preserve">Veřejná sbírka </t>
  </si>
  <si>
    <t>celkem veřejné sbírky</t>
  </si>
  <si>
    <t>ostatní platy</t>
  </si>
  <si>
    <t>ostatní povinné pojistné placené zaměst.</t>
  </si>
  <si>
    <t>ochranné pomůcky</t>
  </si>
  <si>
    <t>léky</t>
  </si>
  <si>
    <t>oděv, obuv</t>
  </si>
  <si>
    <t>DHIM</t>
  </si>
  <si>
    <t>voda</t>
  </si>
  <si>
    <t>plyn</t>
  </si>
  <si>
    <t>elektřina</t>
  </si>
  <si>
    <t>PHM</t>
  </si>
  <si>
    <t>Poštovní služby</t>
  </si>
  <si>
    <t>telefony</t>
  </si>
  <si>
    <t>služby peněžních ústavů</t>
  </si>
  <si>
    <t>školení</t>
  </si>
  <si>
    <t>IT - doména, hosting</t>
  </si>
  <si>
    <t>opravy</t>
  </si>
  <si>
    <t>občerstvení</t>
  </si>
  <si>
    <t>neinv. transfery sdružením</t>
  </si>
  <si>
    <t>Daně a poplatky do SR (dálniční známka)</t>
  </si>
  <si>
    <t>Celkem Požární ochrana</t>
  </si>
  <si>
    <t>Kap. 08 Hospodářství</t>
  </si>
  <si>
    <t>Celkem Místní hospodářství</t>
  </si>
  <si>
    <t>Kap. 09 Vnitřní správa a samospráva</t>
  </si>
  <si>
    <t>samospráva</t>
  </si>
  <si>
    <t>odměny</t>
  </si>
  <si>
    <t>telekomunikace</t>
  </si>
  <si>
    <t>cestovné</t>
  </si>
  <si>
    <t>dary obyvatelstvu</t>
  </si>
  <si>
    <t>celkem samospráva</t>
  </si>
  <si>
    <t>celkem volby</t>
  </si>
  <si>
    <t>vnitřní správa</t>
  </si>
  <si>
    <t>OPZ - aktivní politika zaměstnanosti</t>
  </si>
  <si>
    <t>zákonné úrazové poj.</t>
  </si>
  <si>
    <t>Mzdové náhrady</t>
  </si>
  <si>
    <t>Léčiva</t>
  </si>
  <si>
    <t>knihy a časopisy</t>
  </si>
  <si>
    <t>DDHM</t>
  </si>
  <si>
    <t>služby pošt</t>
  </si>
  <si>
    <t>služby  telekomunikací</t>
  </si>
  <si>
    <t>konzultační služby (poradenské a právní)</t>
  </si>
  <si>
    <t>Zpracování dat a služby související s IT</t>
  </si>
  <si>
    <t>výdaje na konference</t>
  </si>
  <si>
    <t>daně a poplatky</t>
  </si>
  <si>
    <t>zaplacené sankce</t>
  </si>
  <si>
    <t>poskytnuté neinv. Příspěvky a náhrady</t>
  </si>
  <si>
    <t>Věcné dary</t>
  </si>
  <si>
    <t>Ostatní neinvestiční transfery</t>
  </si>
  <si>
    <t>Neinvestiční půjčené prostředky fyzickým osobám</t>
  </si>
  <si>
    <t>celkem vnitřní správa</t>
  </si>
  <si>
    <t>Celkem Správa a samospráva</t>
  </si>
  <si>
    <t>Kap. 10 Všeobecná pokladní správa</t>
  </si>
  <si>
    <t xml:space="preserve">převod příspěvku do SF </t>
  </si>
  <si>
    <t xml:space="preserve">  P</t>
  </si>
  <si>
    <t>platby daní a poplatků  krajům, obcím</t>
  </si>
  <si>
    <t>nespecifikované rezervy</t>
  </si>
  <si>
    <t>Převody mezi státut.městy a jejich MČ - finanční vypoř.</t>
  </si>
  <si>
    <t>Vratky investičních dotací</t>
  </si>
  <si>
    <t>Převody vlastním rezervním fondům</t>
  </si>
  <si>
    <t>převod z FRR vlastním rozpočtovým účtům</t>
  </si>
  <si>
    <t>Celkem Všeobecná pokladní správa</t>
  </si>
  <si>
    <t>CELKEM NEINVESTIČNÍ VÝDAJE před konsolidací dle FIN</t>
  </si>
  <si>
    <t>B.   Investiční výdaje</t>
  </si>
  <si>
    <t>Multifuniční dům (ORG16)</t>
  </si>
  <si>
    <t>Pozemky</t>
  </si>
  <si>
    <t>kontejnerová stání</t>
  </si>
  <si>
    <t>Rekonstrukce přístupových cest ke hvězdárně</t>
  </si>
  <si>
    <t>Stavební  a venkovní úpravy ZŠ ORG 80954</t>
  </si>
  <si>
    <t>Klimatizační zařízení PC učebna</t>
  </si>
  <si>
    <t>Kap. 05 Sociální oblast</t>
  </si>
  <si>
    <t>Rekonstrukce ordinace, lékárna,soc.služby -ORG  80777</t>
  </si>
  <si>
    <t>Kap. 06 Kultura a sport</t>
  </si>
  <si>
    <t>stavby (Kokořínská 400)</t>
  </si>
  <si>
    <t>Odhlučnění sportovního areálu SK Ďáblice z 2018</t>
  </si>
  <si>
    <t>Celkem Bezpečnost</t>
  </si>
  <si>
    <t>Kap. 08 Místní hospodářství</t>
  </si>
  <si>
    <t xml:space="preserve">půdní vestavby </t>
  </si>
  <si>
    <t>Bydlení Ďáblická - Družstvo</t>
  </si>
  <si>
    <t>Akcíz II.</t>
  </si>
  <si>
    <t>Kap. 09 Vnitřní správa</t>
  </si>
  <si>
    <t>stroje, přístroje a zařízení</t>
  </si>
  <si>
    <t>Celkem Vnitřní správa</t>
  </si>
  <si>
    <t>CELKEM INVESTIČNÍ VÝDAJE</t>
  </si>
  <si>
    <t>VÝDAJE CELKEM</t>
  </si>
  <si>
    <t>PŘÍJMY CELKEM</t>
  </si>
  <si>
    <t>SALDO PŘÍJMŮ A VÝDAJŮ</t>
  </si>
  <si>
    <t>FINANCOVÁNÍ Z BÚ přes 8115</t>
  </si>
  <si>
    <t>FINANCOVÁNÍ Z FONDU REZERV</t>
  </si>
  <si>
    <t>bú z frr</t>
  </si>
  <si>
    <t>bú ze sf</t>
  </si>
  <si>
    <t xml:space="preserve">sf a frr z bú </t>
  </si>
  <si>
    <t>bú z vhč tvorba SF z VHČ</t>
  </si>
  <si>
    <t>sf z bu</t>
  </si>
  <si>
    <t>sf půjčky</t>
  </si>
  <si>
    <t>sf z vhč</t>
  </si>
  <si>
    <t xml:space="preserve">PŘÍJMY DLE VÝKAZŮ po konsolidaci </t>
  </si>
  <si>
    <t>toto schvalovat jako závazný ukazatel</t>
  </si>
  <si>
    <t>frr z bú</t>
  </si>
  <si>
    <t>bu / pokl</t>
  </si>
  <si>
    <t>bu z frr</t>
  </si>
  <si>
    <t>sf/bu</t>
  </si>
  <si>
    <t>sf-dov.</t>
  </si>
  <si>
    <t>sf-přísp.</t>
  </si>
  <si>
    <t>dph</t>
  </si>
  <si>
    <t>mhmp</t>
  </si>
  <si>
    <t>VÝDAJE DLE VÝKAZŮ po konsolidaci</t>
  </si>
  <si>
    <t>Saldo příjmů a výdajů po konsolidaci (+,-)</t>
  </si>
  <si>
    <t>ROZPIS NÁVRHU ROZPOČTU 2023</t>
  </si>
  <si>
    <t>údržba lesa</t>
  </si>
  <si>
    <t>technické zhodnocení budovy Květnová 553/52</t>
  </si>
  <si>
    <t>Rekontrukce potrubí U Parkánu 18 - silnice</t>
  </si>
  <si>
    <t>náhrady - refundace</t>
  </si>
  <si>
    <t>náhrady - refundace zdr. a soc. pojištění</t>
  </si>
  <si>
    <t>Nákup nového vozu pro JSDH - spoluúčast MČ</t>
  </si>
  <si>
    <t>příjmy z prodeje krátkodobého drobného majetku</t>
  </si>
  <si>
    <t>Stavební komise</t>
  </si>
  <si>
    <t>celkem kulturní komise</t>
  </si>
  <si>
    <t>akce MČ - pohoštění</t>
  </si>
  <si>
    <t>odchodné</t>
  </si>
  <si>
    <t>*</t>
  </si>
  <si>
    <t>neinvestiční příspěvky SK</t>
  </si>
  <si>
    <t>skládka 2585800</t>
  </si>
  <si>
    <t>skladka</t>
  </si>
  <si>
    <t>RO č. 1</t>
  </si>
  <si>
    <t>RO č. 2</t>
  </si>
  <si>
    <t>ROZ 2023</t>
  </si>
  <si>
    <t xml:space="preserve">Ponechané prostředky-pomoc při inflaci pražským domácnostem </t>
  </si>
  <si>
    <t xml:space="preserve">Dotace 2023 - Stavební a venkovní úpravy ZŠ 80954 </t>
  </si>
  <si>
    <t>Dotace 2022 - Stavební a venkovní úpravy ZŠ 80954</t>
  </si>
  <si>
    <t>Dotace 2022 - Odhlučnění sportovního areálu SK Ďáblice 80931</t>
  </si>
  <si>
    <t>Dotace 2022 - Rekonstrukce přístupových cest ke hvězdárně 80206</t>
  </si>
  <si>
    <t>Sociální pracovník - ostatní osobní výdaje</t>
  </si>
  <si>
    <t>Sociální pracovník  - povinné poj. Na sociální zabezpečení</t>
  </si>
  <si>
    <t>Sociální pracovník - povinné poj. Na zdravotní zabezpečení</t>
  </si>
  <si>
    <t>Sociální pracovník - služby elektronických komunikací</t>
  </si>
  <si>
    <t xml:space="preserve">celkem sociální pracovník </t>
  </si>
  <si>
    <t>Volby prezidenta ČR  - mzdové výdaje</t>
  </si>
  <si>
    <t>Volby prezidenta ČR  - materiál</t>
  </si>
  <si>
    <t>Volby prezidenta ČR  - poštovné</t>
  </si>
  <si>
    <t>Volby prezidenta ČR  - služby</t>
  </si>
  <si>
    <t>Volby prezidenta ČR - občerstvení</t>
  </si>
  <si>
    <t>usnesení č. 23/22/ZMČ</t>
  </si>
  <si>
    <t>volby prezident ČR</t>
  </si>
  <si>
    <t>1-3_2023</t>
  </si>
  <si>
    <t>Ponechané prostředky - VHP 2022</t>
  </si>
  <si>
    <t>příjmy z kulturní komise</t>
  </si>
  <si>
    <t>finanční vypořádání  - vratka dotace PO</t>
  </si>
  <si>
    <t>kulturní komise - užití duševního vlastnictví</t>
  </si>
  <si>
    <t>kulturní komise - ostatní služby</t>
  </si>
  <si>
    <t>kulturní komise - občerstvení</t>
  </si>
  <si>
    <t>mzdy - sociální pojištění</t>
  </si>
  <si>
    <t>mzdy - zdravotní pojištění</t>
  </si>
  <si>
    <t>RO č. 3</t>
  </si>
  <si>
    <t>RO č. 4</t>
  </si>
  <si>
    <t>RO č. 5</t>
  </si>
  <si>
    <t>1-6_2023</t>
  </si>
  <si>
    <t>RO č. 6a</t>
  </si>
  <si>
    <t>finanční vypořádání s MHMP</t>
  </si>
  <si>
    <t>Dotace 2022 - Rekonstrukce přístupových cest ke hvězdárně 80206 vratka</t>
  </si>
  <si>
    <t>kulturní komise - nájemné</t>
  </si>
  <si>
    <t>RO č. 7</t>
  </si>
  <si>
    <t>1-9_2023</t>
  </si>
  <si>
    <t>dotace pro ZŠ EU OP Jan Amos Komenský Šablony I.</t>
  </si>
  <si>
    <t>EU OP Jan Amos Komenský - Šablony I.</t>
  </si>
  <si>
    <t>dotace JSDH</t>
  </si>
  <si>
    <t>Participativní rozpočet - kultivace pozemku</t>
  </si>
  <si>
    <t>Participativní rozpočet - divadelní představení</t>
  </si>
  <si>
    <t>Participativní rozpočet - kniho-budka</t>
  </si>
  <si>
    <t>Opatření pro pražské domácnosti - inflace, školství UZ 138</t>
  </si>
  <si>
    <t>primární prevence ZŠ UZ 115</t>
  </si>
  <si>
    <t>dotace na mzdy MHMP UZ96</t>
  </si>
  <si>
    <t>RO č. 8</t>
  </si>
  <si>
    <t>RO č. 9</t>
  </si>
  <si>
    <t>RO č. 10</t>
  </si>
  <si>
    <t>Participativní rozpočet - drobný hmotný majetek</t>
  </si>
  <si>
    <t>Participativní rozpočet - divadelní materiál</t>
  </si>
  <si>
    <t>Dotace 2023 - Nákup požární techniky JSDH</t>
  </si>
  <si>
    <t>Rekonstrukce ordinace, lékárna,soc.služby -ORG  80777 - zařízení</t>
  </si>
  <si>
    <t>1-12_2023</t>
  </si>
  <si>
    <t>Přijaté vratky nespotřebovaných transferů</t>
  </si>
  <si>
    <t>kulturní komise - materiál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</si>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</sst>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b/>
      <sz val="14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Times New Roman CE"/>
      <charset val="238"/>
    </font>
    <font>
      <strike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10"/>
      <color rgb="FFFF0000"/>
      <name val="Times New Roman CE"/>
      <charset val="238"/>
    </font>
    <font>
      <b/>
      <sz val="10"/>
      <color rgb="FF0070C0"/>
      <name val="Times New Roman CE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E8E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 applyFont="1"/>
    <xf numFmtId="0" fontId="1" fillId="0" borderId="0" xfId="0" applyFont="1"/>
    <xf numFmtId="0" fontId="6" fillId="0" borderId="0" xfId="0" applyFont="1"/>
    <xf numFmtId="0" fontId="7" fillId="0" borderId="0" xfId="2" applyFont="1"/>
    <xf numFmtId="49" fontId="4" fillId="0" borderId="0" xfId="2" applyNumberFormat="1" applyFont="1"/>
    <xf numFmtId="0" fontId="1" fillId="0" borderId="0" xfId="1" applyAlignment="1">
      <alignment horizontal="center"/>
    </xf>
    <xf numFmtId="0" fontId="8" fillId="0" borderId="0" xfId="2" applyFont="1"/>
    <xf numFmtId="0" fontId="9" fillId="0" borderId="0" xfId="2" applyFont="1"/>
    <xf numFmtId="49" fontId="5" fillId="0" borderId="0" xfId="1" applyNumberFormat="1" applyFont="1" applyAlignment="1">
      <alignment horizontal="center"/>
    </xf>
    <xf numFmtId="1" fontId="9" fillId="0" borderId="0" xfId="2" applyNumberFormat="1" applyFont="1"/>
    <xf numFmtId="4" fontId="10" fillId="2" borderId="0" xfId="0" applyNumberFormat="1" applyFont="1" applyFill="1"/>
    <xf numFmtId="49" fontId="9" fillId="0" borderId="0" xfId="2" applyNumberFormat="1" applyFont="1"/>
    <xf numFmtId="10" fontId="1" fillId="0" borderId="0" xfId="0" applyNumberFormat="1" applyFont="1"/>
    <xf numFmtId="4" fontId="11" fillId="2" borderId="0" xfId="0" applyNumberFormat="1" applyFont="1" applyFill="1"/>
    <xf numFmtId="0" fontId="9" fillId="0" borderId="1" xfId="2" applyFont="1" applyBorder="1"/>
    <xf numFmtId="49" fontId="9" fillId="0" borderId="1" xfId="2" applyNumberFormat="1" applyFont="1" applyBorder="1"/>
    <xf numFmtId="4" fontId="10" fillId="2" borderId="1" xfId="2" applyNumberFormat="1" applyFont="1" applyFill="1" applyBorder="1"/>
    <xf numFmtId="0" fontId="12" fillId="0" borderId="0" xfId="2" applyFont="1"/>
    <xf numFmtId="4" fontId="13" fillId="2" borderId="0" xfId="0" applyNumberFormat="1" applyFont="1" applyFill="1"/>
    <xf numFmtId="49" fontId="9" fillId="0" borderId="0" xfId="2" applyNumberFormat="1" applyFont="1" applyAlignment="1">
      <alignment wrapText="1"/>
    </xf>
    <xf numFmtId="4" fontId="14" fillId="2" borderId="0" xfId="0" applyNumberFormat="1" applyFont="1" applyFill="1"/>
    <xf numFmtId="0" fontId="15" fillId="0" borderId="0" xfId="0" applyFont="1"/>
    <xf numFmtId="0" fontId="16" fillId="0" borderId="0" xfId="2" applyFont="1"/>
    <xf numFmtId="49" fontId="16" fillId="0" borderId="0" xfId="2" applyNumberFormat="1" applyFont="1"/>
    <xf numFmtId="0" fontId="17" fillId="0" borderId="0" xfId="2" applyFont="1"/>
    <xf numFmtId="0" fontId="18" fillId="0" borderId="0" xfId="2" applyFont="1"/>
    <xf numFmtId="0" fontId="18" fillId="0" borderId="1" xfId="2" applyFont="1" applyBorder="1"/>
    <xf numFmtId="49" fontId="18" fillId="0" borderId="1" xfId="2" applyNumberFormat="1" applyFont="1" applyBorder="1"/>
    <xf numFmtId="49" fontId="12" fillId="0" borderId="0" xfId="2" applyNumberFormat="1" applyFont="1"/>
    <xf numFmtId="49" fontId="8" fillId="0" borderId="0" xfId="2" applyNumberFormat="1" applyFont="1"/>
    <xf numFmtId="4" fontId="10" fillId="2" borderId="1" xfId="0" applyNumberFormat="1" applyFont="1" applyFill="1" applyBorder="1"/>
    <xf numFmtId="0" fontId="3" fillId="0" borderId="0" xfId="2"/>
    <xf numFmtId="49" fontId="19" fillId="0" borderId="0" xfId="2" applyNumberFormat="1" applyFont="1"/>
    <xf numFmtId="49" fontId="20" fillId="0" borderId="0" xfId="2" applyNumberFormat="1" applyFont="1"/>
    <xf numFmtId="0" fontId="20" fillId="0" borderId="0" xfId="2" applyFont="1"/>
    <xf numFmtId="0" fontId="19" fillId="0" borderId="0" xfId="2" applyFont="1"/>
    <xf numFmtId="49" fontId="21" fillId="0" borderId="0" xfId="2" applyNumberFormat="1" applyFont="1"/>
    <xf numFmtId="49" fontId="18" fillId="0" borderId="0" xfId="2" applyNumberFormat="1" applyFont="1"/>
    <xf numFmtId="0" fontId="18" fillId="4" borderId="0" xfId="2" applyFont="1" applyFill="1"/>
    <xf numFmtId="0" fontId="1" fillId="0" borderId="2" xfId="0" applyFont="1" applyBorder="1"/>
    <xf numFmtId="4" fontId="10" fillId="2" borderId="0" xfId="2" applyNumberFormat="1" applyFont="1" applyFill="1"/>
    <xf numFmtId="49" fontId="19" fillId="0" borderId="1" xfId="2" applyNumberFormat="1" applyFont="1" applyBorder="1"/>
    <xf numFmtId="0" fontId="18" fillId="0" borderId="3" xfId="2" applyFont="1" applyBorder="1"/>
    <xf numFmtId="49" fontId="18" fillId="0" borderId="3" xfId="2" applyNumberFormat="1" applyFont="1" applyBorder="1"/>
    <xf numFmtId="49" fontId="22" fillId="0" borderId="0" xfId="2" applyNumberFormat="1" applyFont="1"/>
    <xf numFmtId="4" fontId="10" fillId="2" borderId="4" xfId="0" applyNumberFormat="1" applyFont="1" applyFill="1" applyBorder="1"/>
    <xf numFmtId="0" fontId="23" fillId="0" borderId="0" xfId="0" applyFont="1"/>
    <xf numFmtId="0" fontId="24" fillId="0" borderId="0" xfId="0" applyFont="1"/>
    <xf numFmtId="4" fontId="13" fillId="2" borderId="0" xfId="1" applyNumberFormat="1" applyFont="1" applyFill="1"/>
    <xf numFmtId="4" fontId="11" fillId="2" borderId="1" xfId="1" applyNumberFormat="1" applyFont="1" applyFill="1" applyBorder="1"/>
    <xf numFmtId="4" fontId="11" fillId="2" borderId="1" xfId="2" applyNumberFormat="1" applyFont="1" applyFill="1" applyBorder="1"/>
    <xf numFmtId="4" fontId="10" fillId="2" borderId="1" xfId="1" applyNumberFormat="1" applyFont="1" applyFill="1" applyBorder="1"/>
    <xf numFmtId="4" fontId="11" fillId="2" borderId="1" xfId="0" applyNumberFormat="1" applyFont="1" applyFill="1" applyBorder="1"/>
    <xf numFmtId="4" fontId="13" fillId="0" borderId="0" xfId="1" applyNumberFormat="1" applyFont="1"/>
    <xf numFmtId="4" fontId="10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4" fontId="11" fillId="0" borderId="0" xfId="0" applyNumberFormat="1" applyFont="1"/>
    <xf numFmtId="4" fontId="10" fillId="0" borderId="0" xfId="2" applyNumberFormat="1" applyFont="1"/>
    <xf numFmtId="0" fontId="5" fillId="3" borderId="0" xfId="0" applyFont="1" applyFill="1" applyAlignment="1">
      <alignment horizontal="center"/>
    </xf>
    <xf numFmtId="49" fontId="5" fillId="3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1" applyNumberFormat="1" applyFont="1" applyFill="1" applyAlignment="1">
      <alignment horizontal="center" wrapText="1"/>
    </xf>
    <xf numFmtId="4" fontId="10" fillId="5" borderId="1" xfId="2" applyNumberFormat="1" applyFont="1" applyFill="1" applyBorder="1"/>
    <xf numFmtId="4" fontId="13" fillId="5" borderId="0" xfId="1" applyNumberFormat="1" applyFont="1" applyFill="1"/>
    <xf numFmtId="4" fontId="11" fillId="5" borderId="1" xfId="1" applyNumberFormat="1" applyFont="1" applyFill="1" applyBorder="1"/>
    <xf numFmtId="4" fontId="10" fillId="5" borderId="0" xfId="0" applyNumberFormat="1" applyFont="1" applyFill="1"/>
    <xf numFmtId="4" fontId="11" fillId="5" borderId="1" xfId="2" applyNumberFormat="1" applyFont="1" applyFill="1" applyBorder="1"/>
    <xf numFmtId="4" fontId="13" fillId="5" borderId="0" xfId="0" applyNumberFormat="1" applyFont="1" applyFill="1"/>
    <xf numFmtId="4" fontId="14" fillId="5" borderId="0" xfId="0" applyNumberFormat="1" applyFont="1" applyFill="1"/>
    <xf numFmtId="4" fontId="10" fillId="5" borderId="1" xfId="1" applyNumberFormat="1" applyFont="1" applyFill="1" applyBorder="1"/>
    <xf numFmtId="4" fontId="11" fillId="5" borderId="0" xfId="0" applyNumberFormat="1" applyFont="1" applyFill="1"/>
    <xf numFmtId="4" fontId="10" fillId="5" borderId="1" xfId="0" applyNumberFormat="1" applyFont="1" applyFill="1" applyBorder="1"/>
    <xf numFmtId="4" fontId="10" fillId="5" borderId="0" xfId="2" applyNumberFormat="1" applyFont="1" applyFill="1"/>
    <xf numFmtId="4" fontId="11" fillId="5" borderId="1" xfId="0" applyNumberFormat="1" applyFont="1" applyFill="1" applyBorder="1"/>
    <xf numFmtId="4" fontId="10" fillId="5" borderId="4" xfId="0" applyNumberFormat="1" applyFont="1" applyFill="1" applyBorder="1"/>
    <xf numFmtId="4" fontId="10" fillId="0" borderId="1" xfId="2" applyNumberFormat="1" applyFont="1" applyBorder="1"/>
    <xf numFmtId="4" fontId="11" fillId="0" borderId="1" xfId="1" applyNumberFormat="1" applyFont="1" applyBorder="1"/>
    <xf numFmtId="0" fontId="5" fillId="0" borderId="0" xfId="0" applyFont="1" applyAlignment="1">
      <alignment horizontal="center"/>
    </xf>
    <xf numFmtId="4" fontId="11" fillId="0" borderId="1" xfId="2" applyNumberFormat="1" applyFont="1" applyBorder="1"/>
    <xf numFmtId="4" fontId="10" fillId="0" borderId="1" xfId="1" applyNumberFormat="1" applyFon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4" fontId="10" fillId="0" borderId="4" xfId="0" applyNumberFormat="1" applyFont="1" applyBorder="1"/>
    <xf numFmtId="0" fontId="9" fillId="0" borderId="0" xfId="2" applyFont="1" applyAlignment="1">
      <alignment wrapText="1"/>
    </xf>
    <xf numFmtId="4" fontId="1" fillId="5" borderId="0" xfId="0" applyNumberFormat="1" applyFont="1" applyFill="1"/>
    <xf numFmtId="4" fontId="1" fillId="0" borderId="0" xfId="0" applyNumberFormat="1" applyFont="1"/>
    <xf numFmtId="4" fontId="1" fillId="2" borderId="0" xfId="0" applyNumberFormat="1" applyFont="1" applyFill="1"/>
    <xf numFmtId="4" fontId="1" fillId="3" borderId="0" xfId="0" applyNumberFormat="1" applyFont="1" applyFill="1"/>
    <xf numFmtId="4" fontId="25" fillId="5" borderId="0" xfId="0" applyNumberFormat="1" applyFont="1" applyFill="1" applyAlignment="1">
      <alignment horizontal="center"/>
    </xf>
    <xf numFmtId="3" fontId="25" fillId="5" borderId="0" xfId="0" applyNumberFormat="1" applyFont="1" applyFill="1" applyAlignment="1">
      <alignment horizontal="center"/>
    </xf>
    <xf numFmtId="3" fontId="25" fillId="0" borderId="0" xfId="0" applyNumberFormat="1" applyFont="1" applyAlignment="1">
      <alignment horizontal="center"/>
    </xf>
    <xf numFmtId="4" fontId="26" fillId="5" borderId="0" xfId="0" applyNumberFormat="1" applyFont="1" applyFill="1"/>
    <xf numFmtId="4" fontId="26" fillId="0" borderId="0" xfId="0" applyNumberFormat="1" applyFont="1"/>
    <xf numFmtId="4" fontId="26" fillId="2" borderId="0" xfId="0" applyNumberFormat="1" applyFont="1" applyFill="1"/>
    <xf numFmtId="4" fontId="26" fillId="3" borderId="0" xfId="0" applyNumberFormat="1" applyFont="1" applyFill="1"/>
    <xf numFmtId="4" fontId="27" fillId="5" borderId="0" xfId="0" applyNumberFormat="1" applyFont="1" applyFill="1"/>
    <xf numFmtId="4" fontId="27" fillId="0" borderId="0" xfId="0" applyNumberFormat="1" applyFont="1"/>
    <xf numFmtId="4" fontId="27" fillId="3" borderId="0" xfId="0" applyNumberFormat="1" applyFont="1" applyFill="1"/>
    <xf numFmtId="4" fontId="5" fillId="3" borderId="1" xfId="2" applyNumberFormat="1" applyFont="1" applyFill="1" applyBorder="1"/>
    <xf numFmtId="4" fontId="26" fillId="3" borderId="0" xfId="1" applyNumberFormat="1" applyFont="1" applyFill="1"/>
    <xf numFmtId="4" fontId="1" fillId="3" borderId="1" xfId="1" applyNumberFormat="1" applyFill="1" applyBorder="1"/>
    <xf numFmtId="4" fontId="5" fillId="3" borderId="0" xfId="0" applyNumberFormat="1" applyFont="1" applyFill="1"/>
    <xf numFmtId="4" fontId="1" fillId="3" borderId="1" xfId="2" applyNumberFormat="1" applyFont="1" applyFill="1" applyBorder="1"/>
    <xf numFmtId="4" fontId="28" fillId="3" borderId="0" xfId="0" applyNumberFormat="1" applyFont="1" applyFill="1"/>
    <xf numFmtId="4" fontId="5" fillId="3" borderId="1" xfId="1" applyNumberFormat="1" applyFont="1" applyFill="1" applyBorder="1"/>
    <xf numFmtId="4" fontId="5" fillId="3" borderId="1" xfId="0" applyNumberFormat="1" applyFont="1" applyFill="1" applyBorder="1"/>
    <xf numFmtId="4" fontId="5" fillId="3" borderId="0" xfId="2" applyNumberFormat="1" applyFont="1" applyFill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10" fontId="1" fillId="0" borderId="1" xfId="0" applyNumberFormat="1" applyFont="1" applyBorder="1"/>
    <xf numFmtId="10" fontId="1" fillId="0" borderId="5" xfId="0" applyNumberFormat="1" applyFont="1" applyBorder="1"/>
  </cellXfs>
  <cellStyles count="3">
    <cellStyle name="Normální" xfId="0" builtinId="0"/>
    <cellStyle name="normální_RO 1 2009 navrh 090306" xfId="1" xr:uid="{31499039-7233-463D-A155-C02C08B57A02}"/>
    <cellStyle name="normální_rozbor1-5_2003" xfId="2" xr:uid="{8A238E32-9513-4B80-A960-71964FB65E17}"/>
  </cellStyles>
  <dxfs count="0"/>
  <tableStyles count="0" defaultTableStyle="TableStyleMedium2" defaultPivotStyle="PivotStyleLight16"/>
  <colors>
    <mruColors>
      <color rgb="FFFEE8EC"/>
      <color rgb="FFFDD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D596-141E-4ACF-8306-6768D21DC73F}">
  <dimension ref="A2:AE510"/>
  <sheetViews>
    <sheetView tabSelected="1" topLeftCell="A36" zoomScale="95" zoomScaleNormal="95" workbookViewId="0">
      <selection activeCell="A36" sqref="A36"/>
    </sheetView>
  </sheetViews>
  <sheetFormatPr defaultColWidth="9.109375" defaultRowHeight="13.2" x14ac:dyDescent="0.25"/>
  <cols>
    <col min="1" max="1" width="4" style="4" bestFit="1" customWidth="1"/>
    <col min="2" max="2" width="1.5546875" style="4" customWidth="1"/>
    <col min="3" max="3" width="4.88671875" style="4" customWidth="1"/>
    <col min="4" max="4" width="5.6640625" style="4" customWidth="1"/>
    <col min="5" max="5" width="0.44140625" style="4" customWidth="1"/>
    <col min="6" max="6" width="42.6640625" style="4" customWidth="1"/>
    <col min="7" max="7" width="0.33203125" style="4" customWidth="1"/>
    <col min="8" max="8" width="12.6640625" style="87" customWidth="1"/>
    <col min="9" max="9" width="10.5546875" style="88" bestFit="1" customWidth="1"/>
    <col min="10" max="10" width="9.88671875" style="88" bestFit="1" customWidth="1"/>
    <col min="11" max="11" width="13.21875" style="89" hidden="1" customWidth="1"/>
    <col min="12" max="12" width="12" style="90" hidden="1" customWidth="1"/>
    <col min="13" max="13" width="7.77734375" style="3" hidden="1" customWidth="1"/>
    <col min="14" max="14" width="12.33203125" style="88" bestFit="1" customWidth="1"/>
    <col min="15" max="16" width="11.33203125" style="88" bestFit="1" customWidth="1"/>
    <col min="17" max="17" width="11.109375" style="88" customWidth="1"/>
    <col min="18" max="18" width="0.21875" style="89" hidden="1" customWidth="1"/>
    <col min="19" max="19" width="13" style="90" hidden="1" customWidth="1"/>
    <col min="20" max="20" width="8" style="3" hidden="1" customWidth="1"/>
    <col min="21" max="21" width="11.33203125" style="88" customWidth="1"/>
    <col min="22" max="22" width="0.21875" style="89" hidden="1" customWidth="1"/>
    <col min="23" max="23" width="13" style="90" hidden="1" customWidth="1"/>
    <col min="24" max="24" width="8" style="3" hidden="1" customWidth="1"/>
    <col min="25" max="25" width="11.33203125" style="88" bestFit="1" customWidth="1"/>
    <col min="26" max="26" width="12" style="88" bestFit="1" customWidth="1"/>
    <col min="27" max="27" width="11.33203125" style="88" bestFit="1" customWidth="1"/>
    <col min="28" max="28" width="13.21875" style="89" bestFit="1" customWidth="1"/>
    <col min="29" max="29" width="13" style="90" bestFit="1" customWidth="1"/>
    <col min="30" max="30" width="8" style="3" bestFit="1" customWidth="1"/>
    <col min="31" max="243" width="9.109375" style="4"/>
    <col min="244" max="244" width="4" style="4" bestFit="1" customWidth="1"/>
    <col min="245" max="245" width="1.5546875" style="4" customWidth="1"/>
    <col min="246" max="246" width="4.88671875" style="4" customWidth="1"/>
    <col min="247" max="247" width="5.6640625" style="4" customWidth="1"/>
    <col min="248" max="248" width="0.44140625" style="4" customWidth="1"/>
    <col min="249" max="249" width="47" style="4" bestFit="1" customWidth="1"/>
    <col min="250" max="250" width="0.109375" style="4" customWidth="1"/>
    <col min="251" max="251" width="12.33203125" style="4" customWidth="1"/>
    <col min="252" max="252" width="0.109375" style="4" customWidth="1"/>
    <col min="253" max="266" width="0" style="4" hidden="1" customWidth="1"/>
    <col min="267" max="267" width="13.33203125" style="4" bestFit="1" customWidth="1"/>
    <col min="268" max="268" width="11.5546875" style="4" bestFit="1" customWidth="1"/>
    <col min="269" max="269" width="8.109375" style="4" bestFit="1" customWidth="1"/>
    <col min="270" max="499" width="9.109375" style="4"/>
    <col min="500" max="500" width="4" style="4" bestFit="1" customWidth="1"/>
    <col min="501" max="501" width="1.5546875" style="4" customWidth="1"/>
    <col min="502" max="502" width="4.88671875" style="4" customWidth="1"/>
    <col min="503" max="503" width="5.6640625" style="4" customWidth="1"/>
    <col min="504" max="504" width="0.44140625" style="4" customWidth="1"/>
    <col min="505" max="505" width="47" style="4" bestFit="1" customWidth="1"/>
    <col min="506" max="506" width="0.109375" style="4" customWidth="1"/>
    <col min="507" max="507" width="12.33203125" style="4" customWidth="1"/>
    <col min="508" max="508" width="0.109375" style="4" customWidth="1"/>
    <col min="509" max="522" width="0" style="4" hidden="1" customWidth="1"/>
    <col min="523" max="523" width="13.33203125" style="4" bestFit="1" customWidth="1"/>
    <col min="524" max="524" width="11.5546875" style="4" bestFit="1" customWidth="1"/>
    <col min="525" max="525" width="8.109375" style="4" bestFit="1" customWidth="1"/>
    <col min="526" max="755" width="9.109375" style="4"/>
    <col min="756" max="756" width="4" style="4" bestFit="1" customWidth="1"/>
    <col min="757" max="757" width="1.5546875" style="4" customWidth="1"/>
    <col min="758" max="758" width="4.88671875" style="4" customWidth="1"/>
    <col min="759" max="759" width="5.6640625" style="4" customWidth="1"/>
    <col min="760" max="760" width="0.44140625" style="4" customWidth="1"/>
    <col min="761" max="761" width="47" style="4" bestFit="1" customWidth="1"/>
    <col min="762" max="762" width="0.109375" style="4" customWidth="1"/>
    <col min="763" max="763" width="12.33203125" style="4" customWidth="1"/>
    <col min="764" max="764" width="0.109375" style="4" customWidth="1"/>
    <col min="765" max="778" width="0" style="4" hidden="1" customWidth="1"/>
    <col min="779" max="779" width="13.33203125" style="4" bestFit="1" customWidth="1"/>
    <col min="780" max="780" width="11.5546875" style="4" bestFit="1" customWidth="1"/>
    <col min="781" max="781" width="8.109375" style="4" bestFit="1" customWidth="1"/>
    <col min="782" max="1011" width="9.109375" style="4"/>
    <col min="1012" max="1012" width="4" style="4" bestFit="1" customWidth="1"/>
    <col min="1013" max="1013" width="1.5546875" style="4" customWidth="1"/>
    <col min="1014" max="1014" width="4.88671875" style="4" customWidth="1"/>
    <col min="1015" max="1015" width="5.6640625" style="4" customWidth="1"/>
    <col min="1016" max="1016" width="0.44140625" style="4" customWidth="1"/>
    <col min="1017" max="1017" width="47" style="4" bestFit="1" customWidth="1"/>
    <col min="1018" max="1018" width="0.109375" style="4" customWidth="1"/>
    <col min="1019" max="1019" width="12.33203125" style="4" customWidth="1"/>
    <col min="1020" max="1020" width="0.109375" style="4" customWidth="1"/>
    <col min="1021" max="1034" width="0" style="4" hidden="1" customWidth="1"/>
    <col min="1035" max="1035" width="13.33203125" style="4" bestFit="1" customWidth="1"/>
    <col min="1036" max="1036" width="11.5546875" style="4" bestFit="1" customWidth="1"/>
    <col min="1037" max="1037" width="8.109375" style="4" bestFit="1" customWidth="1"/>
    <col min="1038" max="1267" width="9.109375" style="4"/>
    <col min="1268" max="1268" width="4" style="4" bestFit="1" customWidth="1"/>
    <col min="1269" max="1269" width="1.5546875" style="4" customWidth="1"/>
    <col min="1270" max="1270" width="4.88671875" style="4" customWidth="1"/>
    <col min="1271" max="1271" width="5.6640625" style="4" customWidth="1"/>
    <col min="1272" max="1272" width="0.44140625" style="4" customWidth="1"/>
    <col min="1273" max="1273" width="47" style="4" bestFit="1" customWidth="1"/>
    <col min="1274" max="1274" width="0.109375" style="4" customWidth="1"/>
    <col min="1275" max="1275" width="12.33203125" style="4" customWidth="1"/>
    <col min="1276" max="1276" width="0.109375" style="4" customWidth="1"/>
    <col min="1277" max="1290" width="0" style="4" hidden="1" customWidth="1"/>
    <col min="1291" max="1291" width="13.33203125" style="4" bestFit="1" customWidth="1"/>
    <col min="1292" max="1292" width="11.5546875" style="4" bestFit="1" customWidth="1"/>
    <col min="1293" max="1293" width="8.109375" style="4" bestFit="1" customWidth="1"/>
    <col min="1294" max="1523" width="9.109375" style="4"/>
    <col min="1524" max="1524" width="4" style="4" bestFit="1" customWidth="1"/>
    <col min="1525" max="1525" width="1.5546875" style="4" customWidth="1"/>
    <col min="1526" max="1526" width="4.88671875" style="4" customWidth="1"/>
    <col min="1527" max="1527" width="5.6640625" style="4" customWidth="1"/>
    <col min="1528" max="1528" width="0.44140625" style="4" customWidth="1"/>
    <col min="1529" max="1529" width="47" style="4" bestFit="1" customWidth="1"/>
    <col min="1530" max="1530" width="0.109375" style="4" customWidth="1"/>
    <col min="1531" max="1531" width="12.33203125" style="4" customWidth="1"/>
    <col min="1532" max="1532" width="0.109375" style="4" customWidth="1"/>
    <col min="1533" max="1546" width="0" style="4" hidden="1" customWidth="1"/>
    <col min="1547" max="1547" width="13.33203125" style="4" bestFit="1" customWidth="1"/>
    <col min="1548" max="1548" width="11.5546875" style="4" bestFit="1" customWidth="1"/>
    <col min="1549" max="1549" width="8.109375" style="4" bestFit="1" customWidth="1"/>
    <col min="1550" max="1779" width="9.109375" style="4"/>
    <col min="1780" max="1780" width="4" style="4" bestFit="1" customWidth="1"/>
    <col min="1781" max="1781" width="1.5546875" style="4" customWidth="1"/>
    <col min="1782" max="1782" width="4.88671875" style="4" customWidth="1"/>
    <col min="1783" max="1783" width="5.6640625" style="4" customWidth="1"/>
    <col min="1784" max="1784" width="0.44140625" style="4" customWidth="1"/>
    <col min="1785" max="1785" width="47" style="4" bestFit="1" customWidth="1"/>
    <col min="1786" max="1786" width="0.109375" style="4" customWidth="1"/>
    <col min="1787" max="1787" width="12.33203125" style="4" customWidth="1"/>
    <col min="1788" max="1788" width="0.109375" style="4" customWidth="1"/>
    <col min="1789" max="1802" width="0" style="4" hidden="1" customWidth="1"/>
    <col min="1803" max="1803" width="13.33203125" style="4" bestFit="1" customWidth="1"/>
    <col min="1804" max="1804" width="11.5546875" style="4" bestFit="1" customWidth="1"/>
    <col min="1805" max="1805" width="8.109375" style="4" bestFit="1" customWidth="1"/>
    <col min="1806" max="2035" width="9.109375" style="4"/>
    <col min="2036" max="2036" width="4" style="4" bestFit="1" customWidth="1"/>
    <col min="2037" max="2037" width="1.5546875" style="4" customWidth="1"/>
    <col min="2038" max="2038" width="4.88671875" style="4" customWidth="1"/>
    <col min="2039" max="2039" width="5.6640625" style="4" customWidth="1"/>
    <col min="2040" max="2040" width="0.44140625" style="4" customWidth="1"/>
    <col min="2041" max="2041" width="47" style="4" bestFit="1" customWidth="1"/>
    <col min="2042" max="2042" width="0.109375" style="4" customWidth="1"/>
    <col min="2043" max="2043" width="12.33203125" style="4" customWidth="1"/>
    <col min="2044" max="2044" width="0.109375" style="4" customWidth="1"/>
    <col min="2045" max="2058" width="0" style="4" hidden="1" customWidth="1"/>
    <col min="2059" max="2059" width="13.33203125" style="4" bestFit="1" customWidth="1"/>
    <col min="2060" max="2060" width="11.5546875" style="4" bestFit="1" customWidth="1"/>
    <col min="2061" max="2061" width="8.109375" style="4" bestFit="1" customWidth="1"/>
    <col min="2062" max="2291" width="9.109375" style="4"/>
    <col min="2292" max="2292" width="4" style="4" bestFit="1" customWidth="1"/>
    <col min="2293" max="2293" width="1.5546875" style="4" customWidth="1"/>
    <col min="2294" max="2294" width="4.88671875" style="4" customWidth="1"/>
    <col min="2295" max="2295" width="5.6640625" style="4" customWidth="1"/>
    <col min="2296" max="2296" width="0.44140625" style="4" customWidth="1"/>
    <col min="2297" max="2297" width="47" style="4" bestFit="1" customWidth="1"/>
    <col min="2298" max="2298" width="0.109375" style="4" customWidth="1"/>
    <col min="2299" max="2299" width="12.33203125" style="4" customWidth="1"/>
    <col min="2300" max="2300" width="0.109375" style="4" customWidth="1"/>
    <col min="2301" max="2314" width="0" style="4" hidden="1" customWidth="1"/>
    <col min="2315" max="2315" width="13.33203125" style="4" bestFit="1" customWidth="1"/>
    <col min="2316" max="2316" width="11.5546875" style="4" bestFit="1" customWidth="1"/>
    <col min="2317" max="2317" width="8.109375" style="4" bestFit="1" customWidth="1"/>
    <col min="2318" max="2547" width="9.109375" style="4"/>
    <col min="2548" max="2548" width="4" style="4" bestFit="1" customWidth="1"/>
    <col min="2549" max="2549" width="1.5546875" style="4" customWidth="1"/>
    <col min="2550" max="2550" width="4.88671875" style="4" customWidth="1"/>
    <col min="2551" max="2551" width="5.6640625" style="4" customWidth="1"/>
    <col min="2552" max="2552" width="0.44140625" style="4" customWidth="1"/>
    <col min="2553" max="2553" width="47" style="4" bestFit="1" customWidth="1"/>
    <col min="2554" max="2554" width="0.109375" style="4" customWidth="1"/>
    <col min="2555" max="2555" width="12.33203125" style="4" customWidth="1"/>
    <col min="2556" max="2556" width="0.109375" style="4" customWidth="1"/>
    <col min="2557" max="2570" width="0" style="4" hidden="1" customWidth="1"/>
    <col min="2571" max="2571" width="13.33203125" style="4" bestFit="1" customWidth="1"/>
    <col min="2572" max="2572" width="11.5546875" style="4" bestFit="1" customWidth="1"/>
    <col min="2573" max="2573" width="8.109375" style="4" bestFit="1" customWidth="1"/>
    <col min="2574" max="2803" width="9.109375" style="4"/>
    <col min="2804" max="2804" width="4" style="4" bestFit="1" customWidth="1"/>
    <col min="2805" max="2805" width="1.5546875" style="4" customWidth="1"/>
    <col min="2806" max="2806" width="4.88671875" style="4" customWidth="1"/>
    <col min="2807" max="2807" width="5.6640625" style="4" customWidth="1"/>
    <col min="2808" max="2808" width="0.44140625" style="4" customWidth="1"/>
    <col min="2809" max="2809" width="47" style="4" bestFit="1" customWidth="1"/>
    <col min="2810" max="2810" width="0.109375" style="4" customWidth="1"/>
    <col min="2811" max="2811" width="12.33203125" style="4" customWidth="1"/>
    <col min="2812" max="2812" width="0.109375" style="4" customWidth="1"/>
    <col min="2813" max="2826" width="0" style="4" hidden="1" customWidth="1"/>
    <col min="2827" max="2827" width="13.33203125" style="4" bestFit="1" customWidth="1"/>
    <col min="2828" max="2828" width="11.5546875" style="4" bestFit="1" customWidth="1"/>
    <col min="2829" max="2829" width="8.109375" style="4" bestFit="1" customWidth="1"/>
    <col min="2830" max="3059" width="9.109375" style="4"/>
    <col min="3060" max="3060" width="4" style="4" bestFit="1" customWidth="1"/>
    <col min="3061" max="3061" width="1.5546875" style="4" customWidth="1"/>
    <col min="3062" max="3062" width="4.88671875" style="4" customWidth="1"/>
    <col min="3063" max="3063" width="5.6640625" style="4" customWidth="1"/>
    <col min="3064" max="3064" width="0.44140625" style="4" customWidth="1"/>
    <col min="3065" max="3065" width="47" style="4" bestFit="1" customWidth="1"/>
    <col min="3066" max="3066" width="0.109375" style="4" customWidth="1"/>
    <col min="3067" max="3067" width="12.33203125" style="4" customWidth="1"/>
    <col min="3068" max="3068" width="0.109375" style="4" customWidth="1"/>
    <col min="3069" max="3082" width="0" style="4" hidden="1" customWidth="1"/>
    <col min="3083" max="3083" width="13.33203125" style="4" bestFit="1" customWidth="1"/>
    <col min="3084" max="3084" width="11.5546875" style="4" bestFit="1" customWidth="1"/>
    <col min="3085" max="3085" width="8.109375" style="4" bestFit="1" customWidth="1"/>
    <col min="3086" max="3315" width="9.109375" style="4"/>
    <col min="3316" max="3316" width="4" style="4" bestFit="1" customWidth="1"/>
    <col min="3317" max="3317" width="1.5546875" style="4" customWidth="1"/>
    <col min="3318" max="3318" width="4.88671875" style="4" customWidth="1"/>
    <col min="3319" max="3319" width="5.6640625" style="4" customWidth="1"/>
    <col min="3320" max="3320" width="0.44140625" style="4" customWidth="1"/>
    <col min="3321" max="3321" width="47" style="4" bestFit="1" customWidth="1"/>
    <col min="3322" max="3322" width="0.109375" style="4" customWidth="1"/>
    <col min="3323" max="3323" width="12.33203125" style="4" customWidth="1"/>
    <col min="3324" max="3324" width="0.109375" style="4" customWidth="1"/>
    <col min="3325" max="3338" width="0" style="4" hidden="1" customWidth="1"/>
    <col min="3339" max="3339" width="13.33203125" style="4" bestFit="1" customWidth="1"/>
    <col min="3340" max="3340" width="11.5546875" style="4" bestFit="1" customWidth="1"/>
    <col min="3341" max="3341" width="8.109375" style="4" bestFit="1" customWidth="1"/>
    <col min="3342" max="3571" width="9.109375" style="4"/>
    <col min="3572" max="3572" width="4" style="4" bestFit="1" customWidth="1"/>
    <col min="3573" max="3573" width="1.5546875" style="4" customWidth="1"/>
    <col min="3574" max="3574" width="4.88671875" style="4" customWidth="1"/>
    <col min="3575" max="3575" width="5.6640625" style="4" customWidth="1"/>
    <col min="3576" max="3576" width="0.44140625" style="4" customWidth="1"/>
    <col min="3577" max="3577" width="47" style="4" bestFit="1" customWidth="1"/>
    <col min="3578" max="3578" width="0.109375" style="4" customWidth="1"/>
    <col min="3579" max="3579" width="12.33203125" style="4" customWidth="1"/>
    <col min="3580" max="3580" width="0.109375" style="4" customWidth="1"/>
    <col min="3581" max="3594" width="0" style="4" hidden="1" customWidth="1"/>
    <col min="3595" max="3595" width="13.33203125" style="4" bestFit="1" customWidth="1"/>
    <col min="3596" max="3596" width="11.5546875" style="4" bestFit="1" customWidth="1"/>
    <col min="3597" max="3597" width="8.109375" style="4" bestFit="1" customWidth="1"/>
    <col min="3598" max="3827" width="9.109375" style="4"/>
    <col min="3828" max="3828" width="4" style="4" bestFit="1" customWidth="1"/>
    <col min="3829" max="3829" width="1.5546875" style="4" customWidth="1"/>
    <col min="3830" max="3830" width="4.88671875" style="4" customWidth="1"/>
    <col min="3831" max="3831" width="5.6640625" style="4" customWidth="1"/>
    <col min="3832" max="3832" width="0.44140625" style="4" customWidth="1"/>
    <col min="3833" max="3833" width="47" style="4" bestFit="1" customWidth="1"/>
    <col min="3834" max="3834" width="0.109375" style="4" customWidth="1"/>
    <col min="3835" max="3835" width="12.33203125" style="4" customWidth="1"/>
    <col min="3836" max="3836" width="0.109375" style="4" customWidth="1"/>
    <col min="3837" max="3850" width="0" style="4" hidden="1" customWidth="1"/>
    <col min="3851" max="3851" width="13.33203125" style="4" bestFit="1" customWidth="1"/>
    <col min="3852" max="3852" width="11.5546875" style="4" bestFit="1" customWidth="1"/>
    <col min="3853" max="3853" width="8.109375" style="4" bestFit="1" customWidth="1"/>
    <col min="3854" max="4083" width="9.109375" style="4"/>
    <col min="4084" max="4084" width="4" style="4" bestFit="1" customWidth="1"/>
    <col min="4085" max="4085" width="1.5546875" style="4" customWidth="1"/>
    <col min="4086" max="4086" width="4.88671875" style="4" customWidth="1"/>
    <col min="4087" max="4087" width="5.6640625" style="4" customWidth="1"/>
    <col min="4088" max="4088" width="0.44140625" style="4" customWidth="1"/>
    <col min="4089" max="4089" width="47" style="4" bestFit="1" customWidth="1"/>
    <col min="4090" max="4090" width="0.109375" style="4" customWidth="1"/>
    <col min="4091" max="4091" width="12.33203125" style="4" customWidth="1"/>
    <col min="4092" max="4092" width="0.109375" style="4" customWidth="1"/>
    <col min="4093" max="4106" width="0" style="4" hidden="1" customWidth="1"/>
    <col min="4107" max="4107" width="13.33203125" style="4" bestFit="1" customWidth="1"/>
    <col min="4108" max="4108" width="11.5546875" style="4" bestFit="1" customWidth="1"/>
    <col min="4109" max="4109" width="8.109375" style="4" bestFit="1" customWidth="1"/>
    <col min="4110" max="4339" width="9.109375" style="4"/>
    <col min="4340" max="4340" width="4" style="4" bestFit="1" customWidth="1"/>
    <col min="4341" max="4341" width="1.5546875" style="4" customWidth="1"/>
    <col min="4342" max="4342" width="4.88671875" style="4" customWidth="1"/>
    <col min="4343" max="4343" width="5.6640625" style="4" customWidth="1"/>
    <col min="4344" max="4344" width="0.44140625" style="4" customWidth="1"/>
    <col min="4345" max="4345" width="47" style="4" bestFit="1" customWidth="1"/>
    <col min="4346" max="4346" width="0.109375" style="4" customWidth="1"/>
    <col min="4347" max="4347" width="12.33203125" style="4" customWidth="1"/>
    <col min="4348" max="4348" width="0.109375" style="4" customWidth="1"/>
    <col min="4349" max="4362" width="0" style="4" hidden="1" customWidth="1"/>
    <col min="4363" max="4363" width="13.33203125" style="4" bestFit="1" customWidth="1"/>
    <col min="4364" max="4364" width="11.5546875" style="4" bestFit="1" customWidth="1"/>
    <col min="4365" max="4365" width="8.109375" style="4" bestFit="1" customWidth="1"/>
    <col min="4366" max="4595" width="9.109375" style="4"/>
    <col min="4596" max="4596" width="4" style="4" bestFit="1" customWidth="1"/>
    <col min="4597" max="4597" width="1.5546875" style="4" customWidth="1"/>
    <col min="4598" max="4598" width="4.88671875" style="4" customWidth="1"/>
    <col min="4599" max="4599" width="5.6640625" style="4" customWidth="1"/>
    <col min="4600" max="4600" width="0.44140625" style="4" customWidth="1"/>
    <col min="4601" max="4601" width="47" style="4" bestFit="1" customWidth="1"/>
    <col min="4602" max="4602" width="0.109375" style="4" customWidth="1"/>
    <col min="4603" max="4603" width="12.33203125" style="4" customWidth="1"/>
    <col min="4604" max="4604" width="0.109375" style="4" customWidth="1"/>
    <col min="4605" max="4618" width="0" style="4" hidden="1" customWidth="1"/>
    <col min="4619" max="4619" width="13.33203125" style="4" bestFit="1" customWidth="1"/>
    <col min="4620" max="4620" width="11.5546875" style="4" bestFit="1" customWidth="1"/>
    <col min="4621" max="4621" width="8.109375" style="4" bestFit="1" customWidth="1"/>
    <col min="4622" max="4851" width="9.109375" style="4"/>
    <col min="4852" max="4852" width="4" style="4" bestFit="1" customWidth="1"/>
    <col min="4853" max="4853" width="1.5546875" style="4" customWidth="1"/>
    <col min="4854" max="4854" width="4.88671875" style="4" customWidth="1"/>
    <col min="4855" max="4855" width="5.6640625" style="4" customWidth="1"/>
    <col min="4856" max="4856" width="0.44140625" style="4" customWidth="1"/>
    <col min="4857" max="4857" width="47" style="4" bestFit="1" customWidth="1"/>
    <col min="4858" max="4858" width="0.109375" style="4" customWidth="1"/>
    <col min="4859" max="4859" width="12.33203125" style="4" customWidth="1"/>
    <col min="4860" max="4860" width="0.109375" style="4" customWidth="1"/>
    <col min="4861" max="4874" width="0" style="4" hidden="1" customWidth="1"/>
    <col min="4875" max="4875" width="13.33203125" style="4" bestFit="1" customWidth="1"/>
    <col min="4876" max="4876" width="11.5546875" style="4" bestFit="1" customWidth="1"/>
    <col min="4877" max="4877" width="8.109375" style="4" bestFit="1" customWidth="1"/>
    <col min="4878" max="5107" width="9.109375" style="4"/>
    <col min="5108" max="5108" width="4" style="4" bestFit="1" customWidth="1"/>
    <col min="5109" max="5109" width="1.5546875" style="4" customWidth="1"/>
    <col min="5110" max="5110" width="4.88671875" style="4" customWidth="1"/>
    <col min="5111" max="5111" width="5.6640625" style="4" customWidth="1"/>
    <col min="5112" max="5112" width="0.44140625" style="4" customWidth="1"/>
    <col min="5113" max="5113" width="47" style="4" bestFit="1" customWidth="1"/>
    <col min="5114" max="5114" width="0.109375" style="4" customWidth="1"/>
    <col min="5115" max="5115" width="12.33203125" style="4" customWidth="1"/>
    <col min="5116" max="5116" width="0.109375" style="4" customWidth="1"/>
    <col min="5117" max="5130" width="0" style="4" hidden="1" customWidth="1"/>
    <col min="5131" max="5131" width="13.33203125" style="4" bestFit="1" customWidth="1"/>
    <col min="5132" max="5132" width="11.5546875" style="4" bestFit="1" customWidth="1"/>
    <col min="5133" max="5133" width="8.109375" style="4" bestFit="1" customWidth="1"/>
    <col min="5134" max="5363" width="9.109375" style="4"/>
    <col min="5364" max="5364" width="4" style="4" bestFit="1" customWidth="1"/>
    <col min="5365" max="5365" width="1.5546875" style="4" customWidth="1"/>
    <col min="5366" max="5366" width="4.88671875" style="4" customWidth="1"/>
    <col min="5367" max="5367" width="5.6640625" style="4" customWidth="1"/>
    <col min="5368" max="5368" width="0.44140625" style="4" customWidth="1"/>
    <col min="5369" max="5369" width="47" style="4" bestFit="1" customWidth="1"/>
    <col min="5370" max="5370" width="0.109375" style="4" customWidth="1"/>
    <col min="5371" max="5371" width="12.33203125" style="4" customWidth="1"/>
    <col min="5372" max="5372" width="0.109375" style="4" customWidth="1"/>
    <col min="5373" max="5386" width="0" style="4" hidden="1" customWidth="1"/>
    <col min="5387" max="5387" width="13.33203125" style="4" bestFit="1" customWidth="1"/>
    <col min="5388" max="5388" width="11.5546875" style="4" bestFit="1" customWidth="1"/>
    <col min="5389" max="5389" width="8.109375" style="4" bestFit="1" customWidth="1"/>
    <col min="5390" max="5619" width="9.109375" style="4"/>
    <col min="5620" max="5620" width="4" style="4" bestFit="1" customWidth="1"/>
    <col min="5621" max="5621" width="1.5546875" style="4" customWidth="1"/>
    <col min="5622" max="5622" width="4.88671875" style="4" customWidth="1"/>
    <col min="5623" max="5623" width="5.6640625" style="4" customWidth="1"/>
    <col min="5624" max="5624" width="0.44140625" style="4" customWidth="1"/>
    <col min="5625" max="5625" width="47" style="4" bestFit="1" customWidth="1"/>
    <col min="5626" max="5626" width="0.109375" style="4" customWidth="1"/>
    <col min="5627" max="5627" width="12.33203125" style="4" customWidth="1"/>
    <col min="5628" max="5628" width="0.109375" style="4" customWidth="1"/>
    <col min="5629" max="5642" width="0" style="4" hidden="1" customWidth="1"/>
    <col min="5643" max="5643" width="13.33203125" style="4" bestFit="1" customWidth="1"/>
    <col min="5644" max="5644" width="11.5546875" style="4" bestFit="1" customWidth="1"/>
    <col min="5645" max="5645" width="8.109375" style="4" bestFit="1" customWidth="1"/>
    <col min="5646" max="5875" width="9.109375" style="4"/>
    <col min="5876" max="5876" width="4" style="4" bestFit="1" customWidth="1"/>
    <col min="5877" max="5877" width="1.5546875" style="4" customWidth="1"/>
    <col min="5878" max="5878" width="4.88671875" style="4" customWidth="1"/>
    <col min="5879" max="5879" width="5.6640625" style="4" customWidth="1"/>
    <col min="5880" max="5880" width="0.44140625" style="4" customWidth="1"/>
    <col min="5881" max="5881" width="47" style="4" bestFit="1" customWidth="1"/>
    <col min="5882" max="5882" width="0.109375" style="4" customWidth="1"/>
    <col min="5883" max="5883" width="12.33203125" style="4" customWidth="1"/>
    <col min="5884" max="5884" width="0.109375" style="4" customWidth="1"/>
    <col min="5885" max="5898" width="0" style="4" hidden="1" customWidth="1"/>
    <col min="5899" max="5899" width="13.33203125" style="4" bestFit="1" customWidth="1"/>
    <col min="5900" max="5900" width="11.5546875" style="4" bestFit="1" customWidth="1"/>
    <col min="5901" max="5901" width="8.109375" style="4" bestFit="1" customWidth="1"/>
    <col min="5902" max="6131" width="9.109375" style="4"/>
    <col min="6132" max="6132" width="4" style="4" bestFit="1" customWidth="1"/>
    <col min="6133" max="6133" width="1.5546875" style="4" customWidth="1"/>
    <col min="6134" max="6134" width="4.88671875" style="4" customWidth="1"/>
    <col min="6135" max="6135" width="5.6640625" style="4" customWidth="1"/>
    <col min="6136" max="6136" width="0.44140625" style="4" customWidth="1"/>
    <col min="6137" max="6137" width="47" style="4" bestFit="1" customWidth="1"/>
    <col min="6138" max="6138" width="0.109375" style="4" customWidth="1"/>
    <col min="6139" max="6139" width="12.33203125" style="4" customWidth="1"/>
    <col min="6140" max="6140" width="0.109375" style="4" customWidth="1"/>
    <col min="6141" max="6154" width="0" style="4" hidden="1" customWidth="1"/>
    <col min="6155" max="6155" width="13.33203125" style="4" bestFit="1" customWidth="1"/>
    <col min="6156" max="6156" width="11.5546875" style="4" bestFit="1" customWidth="1"/>
    <col min="6157" max="6157" width="8.109375" style="4" bestFit="1" customWidth="1"/>
    <col min="6158" max="6387" width="9.109375" style="4"/>
    <col min="6388" max="6388" width="4" style="4" bestFit="1" customWidth="1"/>
    <col min="6389" max="6389" width="1.5546875" style="4" customWidth="1"/>
    <col min="6390" max="6390" width="4.88671875" style="4" customWidth="1"/>
    <col min="6391" max="6391" width="5.6640625" style="4" customWidth="1"/>
    <col min="6392" max="6392" width="0.44140625" style="4" customWidth="1"/>
    <col min="6393" max="6393" width="47" style="4" bestFit="1" customWidth="1"/>
    <col min="6394" max="6394" width="0.109375" style="4" customWidth="1"/>
    <col min="6395" max="6395" width="12.33203125" style="4" customWidth="1"/>
    <col min="6396" max="6396" width="0.109375" style="4" customWidth="1"/>
    <col min="6397" max="6410" width="0" style="4" hidden="1" customWidth="1"/>
    <col min="6411" max="6411" width="13.33203125" style="4" bestFit="1" customWidth="1"/>
    <col min="6412" max="6412" width="11.5546875" style="4" bestFit="1" customWidth="1"/>
    <col min="6413" max="6413" width="8.109375" style="4" bestFit="1" customWidth="1"/>
    <col min="6414" max="6643" width="9.109375" style="4"/>
    <col min="6644" max="6644" width="4" style="4" bestFit="1" customWidth="1"/>
    <col min="6645" max="6645" width="1.5546875" style="4" customWidth="1"/>
    <col min="6646" max="6646" width="4.88671875" style="4" customWidth="1"/>
    <col min="6647" max="6647" width="5.6640625" style="4" customWidth="1"/>
    <col min="6648" max="6648" width="0.44140625" style="4" customWidth="1"/>
    <col min="6649" max="6649" width="47" style="4" bestFit="1" customWidth="1"/>
    <col min="6650" max="6650" width="0.109375" style="4" customWidth="1"/>
    <col min="6651" max="6651" width="12.33203125" style="4" customWidth="1"/>
    <col min="6652" max="6652" width="0.109375" style="4" customWidth="1"/>
    <col min="6653" max="6666" width="0" style="4" hidden="1" customWidth="1"/>
    <col min="6667" max="6667" width="13.33203125" style="4" bestFit="1" customWidth="1"/>
    <col min="6668" max="6668" width="11.5546875" style="4" bestFit="1" customWidth="1"/>
    <col min="6669" max="6669" width="8.109375" style="4" bestFit="1" customWidth="1"/>
    <col min="6670" max="6899" width="9.109375" style="4"/>
    <col min="6900" max="6900" width="4" style="4" bestFit="1" customWidth="1"/>
    <col min="6901" max="6901" width="1.5546875" style="4" customWidth="1"/>
    <col min="6902" max="6902" width="4.88671875" style="4" customWidth="1"/>
    <col min="6903" max="6903" width="5.6640625" style="4" customWidth="1"/>
    <col min="6904" max="6904" width="0.44140625" style="4" customWidth="1"/>
    <col min="6905" max="6905" width="47" style="4" bestFit="1" customWidth="1"/>
    <col min="6906" max="6906" width="0.109375" style="4" customWidth="1"/>
    <col min="6907" max="6907" width="12.33203125" style="4" customWidth="1"/>
    <col min="6908" max="6908" width="0.109375" style="4" customWidth="1"/>
    <col min="6909" max="6922" width="0" style="4" hidden="1" customWidth="1"/>
    <col min="6923" max="6923" width="13.33203125" style="4" bestFit="1" customWidth="1"/>
    <col min="6924" max="6924" width="11.5546875" style="4" bestFit="1" customWidth="1"/>
    <col min="6925" max="6925" width="8.109375" style="4" bestFit="1" customWidth="1"/>
    <col min="6926" max="7155" width="9.109375" style="4"/>
    <col min="7156" max="7156" width="4" style="4" bestFit="1" customWidth="1"/>
    <col min="7157" max="7157" width="1.5546875" style="4" customWidth="1"/>
    <col min="7158" max="7158" width="4.88671875" style="4" customWidth="1"/>
    <col min="7159" max="7159" width="5.6640625" style="4" customWidth="1"/>
    <col min="7160" max="7160" width="0.44140625" style="4" customWidth="1"/>
    <col min="7161" max="7161" width="47" style="4" bestFit="1" customWidth="1"/>
    <col min="7162" max="7162" width="0.109375" style="4" customWidth="1"/>
    <col min="7163" max="7163" width="12.33203125" style="4" customWidth="1"/>
    <col min="7164" max="7164" width="0.109375" style="4" customWidth="1"/>
    <col min="7165" max="7178" width="0" style="4" hidden="1" customWidth="1"/>
    <col min="7179" max="7179" width="13.33203125" style="4" bestFit="1" customWidth="1"/>
    <col min="7180" max="7180" width="11.5546875" style="4" bestFit="1" customWidth="1"/>
    <col min="7181" max="7181" width="8.109375" style="4" bestFit="1" customWidth="1"/>
    <col min="7182" max="7411" width="9.109375" style="4"/>
    <col min="7412" max="7412" width="4" style="4" bestFit="1" customWidth="1"/>
    <col min="7413" max="7413" width="1.5546875" style="4" customWidth="1"/>
    <col min="7414" max="7414" width="4.88671875" style="4" customWidth="1"/>
    <col min="7415" max="7415" width="5.6640625" style="4" customWidth="1"/>
    <col min="7416" max="7416" width="0.44140625" style="4" customWidth="1"/>
    <col min="7417" max="7417" width="47" style="4" bestFit="1" customWidth="1"/>
    <col min="7418" max="7418" width="0.109375" style="4" customWidth="1"/>
    <col min="7419" max="7419" width="12.33203125" style="4" customWidth="1"/>
    <col min="7420" max="7420" width="0.109375" style="4" customWidth="1"/>
    <col min="7421" max="7434" width="0" style="4" hidden="1" customWidth="1"/>
    <col min="7435" max="7435" width="13.33203125" style="4" bestFit="1" customWidth="1"/>
    <col min="7436" max="7436" width="11.5546875" style="4" bestFit="1" customWidth="1"/>
    <col min="7437" max="7437" width="8.109375" style="4" bestFit="1" customWidth="1"/>
    <col min="7438" max="7667" width="9.109375" style="4"/>
    <col min="7668" max="7668" width="4" style="4" bestFit="1" customWidth="1"/>
    <col min="7669" max="7669" width="1.5546875" style="4" customWidth="1"/>
    <col min="7670" max="7670" width="4.88671875" style="4" customWidth="1"/>
    <col min="7671" max="7671" width="5.6640625" style="4" customWidth="1"/>
    <col min="7672" max="7672" width="0.44140625" style="4" customWidth="1"/>
    <col min="7673" max="7673" width="47" style="4" bestFit="1" customWidth="1"/>
    <col min="7674" max="7674" width="0.109375" style="4" customWidth="1"/>
    <col min="7675" max="7675" width="12.33203125" style="4" customWidth="1"/>
    <col min="7676" max="7676" width="0.109375" style="4" customWidth="1"/>
    <col min="7677" max="7690" width="0" style="4" hidden="1" customWidth="1"/>
    <col min="7691" max="7691" width="13.33203125" style="4" bestFit="1" customWidth="1"/>
    <col min="7692" max="7692" width="11.5546875" style="4" bestFit="1" customWidth="1"/>
    <col min="7693" max="7693" width="8.109375" style="4" bestFit="1" customWidth="1"/>
    <col min="7694" max="7923" width="9.109375" style="4"/>
    <col min="7924" max="7924" width="4" style="4" bestFit="1" customWidth="1"/>
    <col min="7925" max="7925" width="1.5546875" style="4" customWidth="1"/>
    <col min="7926" max="7926" width="4.88671875" style="4" customWidth="1"/>
    <col min="7927" max="7927" width="5.6640625" style="4" customWidth="1"/>
    <col min="7928" max="7928" width="0.44140625" style="4" customWidth="1"/>
    <col min="7929" max="7929" width="47" style="4" bestFit="1" customWidth="1"/>
    <col min="7930" max="7930" width="0.109375" style="4" customWidth="1"/>
    <col min="7931" max="7931" width="12.33203125" style="4" customWidth="1"/>
    <col min="7932" max="7932" width="0.109375" style="4" customWidth="1"/>
    <col min="7933" max="7946" width="0" style="4" hidden="1" customWidth="1"/>
    <col min="7947" max="7947" width="13.33203125" style="4" bestFit="1" customWidth="1"/>
    <col min="7948" max="7948" width="11.5546875" style="4" bestFit="1" customWidth="1"/>
    <col min="7949" max="7949" width="8.109375" style="4" bestFit="1" customWidth="1"/>
    <col min="7950" max="8179" width="9.109375" style="4"/>
    <col min="8180" max="8180" width="4" style="4" bestFit="1" customWidth="1"/>
    <col min="8181" max="8181" width="1.5546875" style="4" customWidth="1"/>
    <col min="8182" max="8182" width="4.88671875" style="4" customWidth="1"/>
    <col min="8183" max="8183" width="5.6640625" style="4" customWidth="1"/>
    <col min="8184" max="8184" width="0.44140625" style="4" customWidth="1"/>
    <col min="8185" max="8185" width="47" style="4" bestFit="1" customWidth="1"/>
    <col min="8186" max="8186" width="0.109375" style="4" customWidth="1"/>
    <col min="8187" max="8187" width="12.33203125" style="4" customWidth="1"/>
    <col min="8188" max="8188" width="0.109375" style="4" customWidth="1"/>
    <col min="8189" max="8202" width="0" style="4" hidden="1" customWidth="1"/>
    <col min="8203" max="8203" width="13.33203125" style="4" bestFit="1" customWidth="1"/>
    <col min="8204" max="8204" width="11.5546875" style="4" bestFit="1" customWidth="1"/>
    <col min="8205" max="8205" width="8.109375" style="4" bestFit="1" customWidth="1"/>
    <col min="8206" max="8435" width="9.109375" style="4"/>
    <col min="8436" max="8436" width="4" style="4" bestFit="1" customWidth="1"/>
    <col min="8437" max="8437" width="1.5546875" style="4" customWidth="1"/>
    <col min="8438" max="8438" width="4.88671875" style="4" customWidth="1"/>
    <col min="8439" max="8439" width="5.6640625" style="4" customWidth="1"/>
    <col min="8440" max="8440" width="0.44140625" style="4" customWidth="1"/>
    <col min="8441" max="8441" width="47" style="4" bestFit="1" customWidth="1"/>
    <col min="8442" max="8442" width="0.109375" style="4" customWidth="1"/>
    <col min="8443" max="8443" width="12.33203125" style="4" customWidth="1"/>
    <col min="8444" max="8444" width="0.109375" style="4" customWidth="1"/>
    <col min="8445" max="8458" width="0" style="4" hidden="1" customWidth="1"/>
    <col min="8459" max="8459" width="13.33203125" style="4" bestFit="1" customWidth="1"/>
    <col min="8460" max="8460" width="11.5546875" style="4" bestFit="1" customWidth="1"/>
    <col min="8461" max="8461" width="8.109375" style="4" bestFit="1" customWidth="1"/>
    <col min="8462" max="8691" width="9.109375" style="4"/>
    <col min="8692" max="8692" width="4" style="4" bestFit="1" customWidth="1"/>
    <col min="8693" max="8693" width="1.5546875" style="4" customWidth="1"/>
    <col min="8694" max="8694" width="4.88671875" style="4" customWidth="1"/>
    <col min="8695" max="8695" width="5.6640625" style="4" customWidth="1"/>
    <col min="8696" max="8696" width="0.44140625" style="4" customWidth="1"/>
    <col min="8697" max="8697" width="47" style="4" bestFit="1" customWidth="1"/>
    <col min="8698" max="8698" width="0.109375" style="4" customWidth="1"/>
    <col min="8699" max="8699" width="12.33203125" style="4" customWidth="1"/>
    <col min="8700" max="8700" width="0.109375" style="4" customWidth="1"/>
    <col min="8701" max="8714" width="0" style="4" hidden="1" customWidth="1"/>
    <col min="8715" max="8715" width="13.33203125" style="4" bestFit="1" customWidth="1"/>
    <col min="8716" max="8716" width="11.5546875" style="4" bestFit="1" customWidth="1"/>
    <col min="8717" max="8717" width="8.109375" style="4" bestFit="1" customWidth="1"/>
    <col min="8718" max="8947" width="9.109375" style="4"/>
    <col min="8948" max="8948" width="4" style="4" bestFit="1" customWidth="1"/>
    <col min="8949" max="8949" width="1.5546875" style="4" customWidth="1"/>
    <col min="8950" max="8950" width="4.88671875" style="4" customWidth="1"/>
    <col min="8951" max="8951" width="5.6640625" style="4" customWidth="1"/>
    <col min="8952" max="8952" width="0.44140625" style="4" customWidth="1"/>
    <col min="8953" max="8953" width="47" style="4" bestFit="1" customWidth="1"/>
    <col min="8954" max="8954" width="0.109375" style="4" customWidth="1"/>
    <col min="8955" max="8955" width="12.33203125" style="4" customWidth="1"/>
    <col min="8956" max="8956" width="0.109375" style="4" customWidth="1"/>
    <col min="8957" max="8970" width="0" style="4" hidden="1" customWidth="1"/>
    <col min="8971" max="8971" width="13.33203125" style="4" bestFit="1" customWidth="1"/>
    <col min="8972" max="8972" width="11.5546875" style="4" bestFit="1" customWidth="1"/>
    <col min="8973" max="8973" width="8.109375" style="4" bestFit="1" customWidth="1"/>
    <col min="8974" max="9203" width="9.109375" style="4"/>
    <col min="9204" max="9204" width="4" style="4" bestFit="1" customWidth="1"/>
    <col min="9205" max="9205" width="1.5546875" style="4" customWidth="1"/>
    <col min="9206" max="9206" width="4.88671875" style="4" customWidth="1"/>
    <col min="9207" max="9207" width="5.6640625" style="4" customWidth="1"/>
    <col min="9208" max="9208" width="0.44140625" style="4" customWidth="1"/>
    <col min="9209" max="9209" width="47" style="4" bestFit="1" customWidth="1"/>
    <col min="9210" max="9210" width="0.109375" style="4" customWidth="1"/>
    <col min="9211" max="9211" width="12.33203125" style="4" customWidth="1"/>
    <col min="9212" max="9212" width="0.109375" style="4" customWidth="1"/>
    <col min="9213" max="9226" width="0" style="4" hidden="1" customWidth="1"/>
    <col min="9227" max="9227" width="13.33203125" style="4" bestFit="1" customWidth="1"/>
    <col min="9228" max="9228" width="11.5546875" style="4" bestFit="1" customWidth="1"/>
    <col min="9229" max="9229" width="8.109375" style="4" bestFit="1" customWidth="1"/>
    <col min="9230" max="9459" width="9.109375" style="4"/>
    <col min="9460" max="9460" width="4" style="4" bestFit="1" customWidth="1"/>
    <col min="9461" max="9461" width="1.5546875" style="4" customWidth="1"/>
    <col min="9462" max="9462" width="4.88671875" style="4" customWidth="1"/>
    <col min="9463" max="9463" width="5.6640625" style="4" customWidth="1"/>
    <col min="9464" max="9464" width="0.44140625" style="4" customWidth="1"/>
    <col min="9465" max="9465" width="47" style="4" bestFit="1" customWidth="1"/>
    <col min="9466" max="9466" width="0.109375" style="4" customWidth="1"/>
    <col min="9467" max="9467" width="12.33203125" style="4" customWidth="1"/>
    <col min="9468" max="9468" width="0.109375" style="4" customWidth="1"/>
    <col min="9469" max="9482" width="0" style="4" hidden="1" customWidth="1"/>
    <col min="9483" max="9483" width="13.33203125" style="4" bestFit="1" customWidth="1"/>
    <col min="9484" max="9484" width="11.5546875" style="4" bestFit="1" customWidth="1"/>
    <col min="9485" max="9485" width="8.109375" style="4" bestFit="1" customWidth="1"/>
    <col min="9486" max="9715" width="9.109375" style="4"/>
    <col min="9716" max="9716" width="4" style="4" bestFit="1" customWidth="1"/>
    <col min="9717" max="9717" width="1.5546875" style="4" customWidth="1"/>
    <col min="9718" max="9718" width="4.88671875" style="4" customWidth="1"/>
    <col min="9719" max="9719" width="5.6640625" style="4" customWidth="1"/>
    <col min="9720" max="9720" width="0.44140625" style="4" customWidth="1"/>
    <col min="9721" max="9721" width="47" style="4" bestFit="1" customWidth="1"/>
    <col min="9722" max="9722" width="0.109375" style="4" customWidth="1"/>
    <col min="9723" max="9723" width="12.33203125" style="4" customWidth="1"/>
    <col min="9724" max="9724" width="0.109375" style="4" customWidth="1"/>
    <col min="9725" max="9738" width="0" style="4" hidden="1" customWidth="1"/>
    <col min="9739" max="9739" width="13.33203125" style="4" bestFit="1" customWidth="1"/>
    <col min="9740" max="9740" width="11.5546875" style="4" bestFit="1" customWidth="1"/>
    <col min="9741" max="9741" width="8.109375" style="4" bestFit="1" customWidth="1"/>
    <col min="9742" max="9971" width="9.109375" style="4"/>
    <col min="9972" max="9972" width="4" style="4" bestFit="1" customWidth="1"/>
    <col min="9973" max="9973" width="1.5546875" style="4" customWidth="1"/>
    <col min="9974" max="9974" width="4.88671875" style="4" customWidth="1"/>
    <col min="9975" max="9975" width="5.6640625" style="4" customWidth="1"/>
    <col min="9976" max="9976" width="0.44140625" style="4" customWidth="1"/>
    <col min="9977" max="9977" width="47" style="4" bestFit="1" customWidth="1"/>
    <col min="9978" max="9978" width="0.109375" style="4" customWidth="1"/>
    <col min="9979" max="9979" width="12.33203125" style="4" customWidth="1"/>
    <col min="9980" max="9980" width="0.109375" style="4" customWidth="1"/>
    <col min="9981" max="9994" width="0" style="4" hidden="1" customWidth="1"/>
    <col min="9995" max="9995" width="13.33203125" style="4" bestFit="1" customWidth="1"/>
    <col min="9996" max="9996" width="11.5546875" style="4" bestFit="1" customWidth="1"/>
    <col min="9997" max="9997" width="8.109375" style="4" bestFit="1" customWidth="1"/>
    <col min="9998" max="10227" width="9.109375" style="4"/>
    <col min="10228" max="10228" width="4" style="4" bestFit="1" customWidth="1"/>
    <col min="10229" max="10229" width="1.5546875" style="4" customWidth="1"/>
    <col min="10230" max="10230" width="4.88671875" style="4" customWidth="1"/>
    <col min="10231" max="10231" width="5.6640625" style="4" customWidth="1"/>
    <col min="10232" max="10232" width="0.44140625" style="4" customWidth="1"/>
    <col min="10233" max="10233" width="47" style="4" bestFit="1" customWidth="1"/>
    <col min="10234" max="10234" width="0.109375" style="4" customWidth="1"/>
    <col min="10235" max="10235" width="12.33203125" style="4" customWidth="1"/>
    <col min="10236" max="10236" width="0.109375" style="4" customWidth="1"/>
    <col min="10237" max="10250" width="0" style="4" hidden="1" customWidth="1"/>
    <col min="10251" max="10251" width="13.33203125" style="4" bestFit="1" customWidth="1"/>
    <col min="10252" max="10252" width="11.5546875" style="4" bestFit="1" customWidth="1"/>
    <col min="10253" max="10253" width="8.109375" style="4" bestFit="1" customWidth="1"/>
    <col min="10254" max="10483" width="9.109375" style="4"/>
    <col min="10484" max="10484" width="4" style="4" bestFit="1" customWidth="1"/>
    <col min="10485" max="10485" width="1.5546875" style="4" customWidth="1"/>
    <col min="10486" max="10486" width="4.88671875" style="4" customWidth="1"/>
    <col min="10487" max="10487" width="5.6640625" style="4" customWidth="1"/>
    <col min="10488" max="10488" width="0.44140625" style="4" customWidth="1"/>
    <col min="10489" max="10489" width="47" style="4" bestFit="1" customWidth="1"/>
    <col min="10490" max="10490" width="0.109375" style="4" customWidth="1"/>
    <col min="10491" max="10491" width="12.33203125" style="4" customWidth="1"/>
    <col min="10492" max="10492" width="0.109375" style="4" customWidth="1"/>
    <col min="10493" max="10506" width="0" style="4" hidden="1" customWidth="1"/>
    <col min="10507" max="10507" width="13.33203125" style="4" bestFit="1" customWidth="1"/>
    <col min="10508" max="10508" width="11.5546875" style="4" bestFit="1" customWidth="1"/>
    <col min="10509" max="10509" width="8.109375" style="4" bestFit="1" customWidth="1"/>
    <col min="10510" max="10739" width="9.109375" style="4"/>
    <col min="10740" max="10740" width="4" style="4" bestFit="1" customWidth="1"/>
    <col min="10741" max="10741" width="1.5546875" style="4" customWidth="1"/>
    <col min="10742" max="10742" width="4.88671875" style="4" customWidth="1"/>
    <col min="10743" max="10743" width="5.6640625" style="4" customWidth="1"/>
    <col min="10744" max="10744" width="0.44140625" style="4" customWidth="1"/>
    <col min="10745" max="10745" width="47" style="4" bestFit="1" customWidth="1"/>
    <col min="10746" max="10746" width="0.109375" style="4" customWidth="1"/>
    <col min="10747" max="10747" width="12.33203125" style="4" customWidth="1"/>
    <col min="10748" max="10748" width="0.109375" style="4" customWidth="1"/>
    <col min="10749" max="10762" width="0" style="4" hidden="1" customWidth="1"/>
    <col min="10763" max="10763" width="13.33203125" style="4" bestFit="1" customWidth="1"/>
    <col min="10764" max="10764" width="11.5546875" style="4" bestFit="1" customWidth="1"/>
    <col min="10765" max="10765" width="8.109375" style="4" bestFit="1" customWidth="1"/>
    <col min="10766" max="10995" width="9.109375" style="4"/>
    <col min="10996" max="10996" width="4" style="4" bestFit="1" customWidth="1"/>
    <col min="10997" max="10997" width="1.5546875" style="4" customWidth="1"/>
    <col min="10998" max="10998" width="4.88671875" style="4" customWidth="1"/>
    <col min="10999" max="10999" width="5.6640625" style="4" customWidth="1"/>
    <col min="11000" max="11000" width="0.44140625" style="4" customWidth="1"/>
    <col min="11001" max="11001" width="47" style="4" bestFit="1" customWidth="1"/>
    <col min="11002" max="11002" width="0.109375" style="4" customWidth="1"/>
    <col min="11003" max="11003" width="12.33203125" style="4" customWidth="1"/>
    <col min="11004" max="11004" width="0.109375" style="4" customWidth="1"/>
    <col min="11005" max="11018" width="0" style="4" hidden="1" customWidth="1"/>
    <col min="11019" max="11019" width="13.33203125" style="4" bestFit="1" customWidth="1"/>
    <col min="11020" max="11020" width="11.5546875" style="4" bestFit="1" customWidth="1"/>
    <col min="11021" max="11021" width="8.109375" style="4" bestFit="1" customWidth="1"/>
    <col min="11022" max="11251" width="9.109375" style="4"/>
    <col min="11252" max="11252" width="4" style="4" bestFit="1" customWidth="1"/>
    <col min="11253" max="11253" width="1.5546875" style="4" customWidth="1"/>
    <col min="11254" max="11254" width="4.88671875" style="4" customWidth="1"/>
    <col min="11255" max="11255" width="5.6640625" style="4" customWidth="1"/>
    <col min="11256" max="11256" width="0.44140625" style="4" customWidth="1"/>
    <col min="11257" max="11257" width="47" style="4" bestFit="1" customWidth="1"/>
    <col min="11258" max="11258" width="0.109375" style="4" customWidth="1"/>
    <col min="11259" max="11259" width="12.33203125" style="4" customWidth="1"/>
    <col min="11260" max="11260" width="0.109375" style="4" customWidth="1"/>
    <col min="11261" max="11274" width="0" style="4" hidden="1" customWidth="1"/>
    <col min="11275" max="11275" width="13.33203125" style="4" bestFit="1" customWidth="1"/>
    <col min="11276" max="11276" width="11.5546875" style="4" bestFit="1" customWidth="1"/>
    <col min="11277" max="11277" width="8.109375" style="4" bestFit="1" customWidth="1"/>
    <col min="11278" max="11507" width="9.109375" style="4"/>
    <col min="11508" max="11508" width="4" style="4" bestFit="1" customWidth="1"/>
    <col min="11509" max="11509" width="1.5546875" style="4" customWidth="1"/>
    <col min="11510" max="11510" width="4.88671875" style="4" customWidth="1"/>
    <col min="11511" max="11511" width="5.6640625" style="4" customWidth="1"/>
    <col min="11512" max="11512" width="0.44140625" style="4" customWidth="1"/>
    <col min="11513" max="11513" width="47" style="4" bestFit="1" customWidth="1"/>
    <col min="11514" max="11514" width="0.109375" style="4" customWidth="1"/>
    <col min="11515" max="11515" width="12.33203125" style="4" customWidth="1"/>
    <col min="11516" max="11516" width="0.109375" style="4" customWidth="1"/>
    <col min="11517" max="11530" width="0" style="4" hidden="1" customWidth="1"/>
    <col min="11531" max="11531" width="13.33203125" style="4" bestFit="1" customWidth="1"/>
    <col min="11532" max="11532" width="11.5546875" style="4" bestFit="1" customWidth="1"/>
    <col min="11533" max="11533" width="8.109375" style="4" bestFit="1" customWidth="1"/>
    <col min="11534" max="11763" width="9.109375" style="4"/>
    <col min="11764" max="11764" width="4" style="4" bestFit="1" customWidth="1"/>
    <col min="11765" max="11765" width="1.5546875" style="4" customWidth="1"/>
    <col min="11766" max="11766" width="4.88671875" style="4" customWidth="1"/>
    <col min="11767" max="11767" width="5.6640625" style="4" customWidth="1"/>
    <col min="11768" max="11768" width="0.44140625" style="4" customWidth="1"/>
    <col min="11769" max="11769" width="47" style="4" bestFit="1" customWidth="1"/>
    <col min="11770" max="11770" width="0.109375" style="4" customWidth="1"/>
    <col min="11771" max="11771" width="12.33203125" style="4" customWidth="1"/>
    <col min="11772" max="11772" width="0.109375" style="4" customWidth="1"/>
    <col min="11773" max="11786" width="0" style="4" hidden="1" customWidth="1"/>
    <col min="11787" max="11787" width="13.33203125" style="4" bestFit="1" customWidth="1"/>
    <col min="11788" max="11788" width="11.5546875" style="4" bestFit="1" customWidth="1"/>
    <col min="11789" max="11789" width="8.109375" style="4" bestFit="1" customWidth="1"/>
    <col min="11790" max="12019" width="9.109375" style="4"/>
    <col min="12020" max="12020" width="4" style="4" bestFit="1" customWidth="1"/>
    <col min="12021" max="12021" width="1.5546875" style="4" customWidth="1"/>
    <col min="12022" max="12022" width="4.88671875" style="4" customWidth="1"/>
    <col min="12023" max="12023" width="5.6640625" style="4" customWidth="1"/>
    <col min="12024" max="12024" width="0.44140625" style="4" customWidth="1"/>
    <col min="12025" max="12025" width="47" style="4" bestFit="1" customWidth="1"/>
    <col min="12026" max="12026" width="0.109375" style="4" customWidth="1"/>
    <col min="12027" max="12027" width="12.33203125" style="4" customWidth="1"/>
    <col min="12028" max="12028" width="0.109375" style="4" customWidth="1"/>
    <col min="12029" max="12042" width="0" style="4" hidden="1" customWidth="1"/>
    <col min="12043" max="12043" width="13.33203125" style="4" bestFit="1" customWidth="1"/>
    <col min="12044" max="12044" width="11.5546875" style="4" bestFit="1" customWidth="1"/>
    <col min="12045" max="12045" width="8.109375" style="4" bestFit="1" customWidth="1"/>
    <col min="12046" max="12275" width="9.109375" style="4"/>
    <col min="12276" max="12276" width="4" style="4" bestFit="1" customWidth="1"/>
    <col min="12277" max="12277" width="1.5546875" style="4" customWidth="1"/>
    <col min="12278" max="12278" width="4.88671875" style="4" customWidth="1"/>
    <col min="12279" max="12279" width="5.6640625" style="4" customWidth="1"/>
    <col min="12280" max="12280" width="0.44140625" style="4" customWidth="1"/>
    <col min="12281" max="12281" width="47" style="4" bestFit="1" customWidth="1"/>
    <col min="12282" max="12282" width="0.109375" style="4" customWidth="1"/>
    <col min="12283" max="12283" width="12.33203125" style="4" customWidth="1"/>
    <col min="12284" max="12284" width="0.109375" style="4" customWidth="1"/>
    <col min="12285" max="12298" width="0" style="4" hidden="1" customWidth="1"/>
    <col min="12299" max="12299" width="13.33203125" style="4" bestFit="1" customWidth="1"/>
    <col min="12300" max="12300" width="11.5546875" style="4" bestFit="1" customWidth="1"/>
    <col min="12301" max="12301" width="8.109375" style="4" bestFit="1" customWidth="1"/>
    <col min="12302" max="12531" width="9.109375" style="4"/>
    <col min="12532" max="12532" width="4" style="4" bestFit="1" customWidth="1"/>
    <col min="12533" max="12533" width="1.5546875" style="4" customWidth="1"/>
    <col min="12534" max="12534" width="4.88671875" style="4" customWidth="1"/>
    <col min="12535" max="12535" width="5.6640625" style="4" customWidth="1"/>
    <col min="12536" max="12536" width="0.44140625" style="4" customWidth="1"/>
    <col min="12537" max="12537" width="47" style="4" bestFit="1" customWidth="1"/>
    <col min="12538" max="12538" width="0.109375" style="4" customWidth="1"/>
    <col min="12539" max="12539" width="12.33203125" style="4" customWidth="1"/>
    <col min="12540" max="12540" width="0.109375" style="4" customWidth="1"/>
    <col min="12541" max="12554" width="0" style="4" hidden="1" customWidth="1"/>
    <col min="12555" max="12555" width="13.33203125" style="4" bestFit="1" customWidth="1"/>
    <col min="12556" max="12556" width="11.5546875" style="4" bestFit="1" customWidth="1"/>
    <col min="12557" max="12557" width="8.109375" style="4" bestFit="1" customWidth="1"/>
    <col min="12558" max="12787" width="9.109375" style="4"/>
    <col min="12788" max="12788" width="4" style="4" bestFit="1" customWidth="1"/>
    <col min="12789" max="12789" width="1.5546875" style="4" customWidth="1"/>
    <col min="12790" max="12790" width="4.88671875" style="4" customWidth="1"/>
    <col min="12791" max="12791" width="5.6640625" style="4" customWidth="1"/>
    <col min="12792" max="12792" width="0.44140625" style="4" customWidth="1"/>
    <col min="12793" max="12793" width="47" style="4" bestFit="1" customWidth="1"/>
    <col min="12794" max="12794" width="0.109375" style="4" customWidth="1"/>
    <col min="12795" max="12795" width="12.33203125" style="4" customWidth="1"/>
    <col min="12796" max="12796" width="0.109375" style="4" customWidth="1"/>
    <col min="12797" max="12810" width="0" style="4" hidden="1" customWidth="1"/>
    <col min="12811" max="12811" width="13.33203125" style="4" bestFit="1" customWidth="1"/>
    <col min="12812" max="12812" width="11.5546875" style="4" bestFit="1" customWidth="1"/>
    <col min="12813" max="12813" width="8.109375" style="4" bestFit="1" customWidth="1"/>
    <col min="12814" max="13043" width="9.109375" style="4"/>
    <col min="13044" max="13044" width="4" style="4" bestFit="1" customWidth="1"/>
    <col min="13045" max="13045" width="1.5546875" style="4" customWidth="1"/>
    <col min="13046" max="13046" width="4.88671875" style="4" customWidth="1"/>
    <col min="13047" max="13047" width="5.6640625" style="4" customWidth="1"/>
    <col min="13048" max="13048" width="0.44140625" style="4" customWidth="1"/>
    <col min="13049" max="13049" width="47" style="4" bestFit="1" customWidth="1"/>
    <col min="13050" max="13050" width="0.109375" style="4" customWidth="1"/>
    <col min="13051" max="13051" width="12.33203125" style="4" customWidth="1"/>
    <col min="13052" max="13052" width="0.109375" style="4" customWidth="1"/>
    <col min="13053" max="13066" width="0" style="4" hidden="1" customWidth="1"/>
    <col min="13067" max="13067" width="13.33203125" style="4" bestFit="1" customWidth="1"/>
    <col min="13068" max="13068" width="11.5546875" style="4" bestFit="1" customWidth="1"/>
    <col min="13069" max="13069" width="8.109375" style="4" bestFit="1" customWidth="1"/>
    <col min="13070" max="13299" width="9.109375" style="4"/>
    <col min="13300" max="13300" width="4" style="4" bestFit="1" customWidth="1"/>
    <col min="13301" max="13301" width="1.5546875" style="4" customWidth="1"/>
    <col min="13302" max="13302" width="4.88671875" style="4" customWidth="1"/>
    <col min="13303" max="13303" width="5.6640625" style="4" customWidth="1"/>
    <col min="13304" max="13304" width="0.44140625" style="4" customWidth="1"/>
    <col min="13305" max="13305" width="47" style="4" bestFit="1" customWidth="1"/>
    <col min="13306" max="13306" width="0.109375" style="4" customWidth="1"/>
    <col min="13307" max="13307" width="12.33203125" style="4" customWidth="1"/>
    <col min="13308" max="13308" width="0.109375" style="4" customWidth="1"/>
    <col min="13309" max="13322" width="0" style="4" hidden="1" customWidth="1"/>
    <col min="13323" max="13323" width="13.33203125" style="4" bestFit="1" customWidth="1"/>
    <col min="13324" max="13324" width="11.5546875" style="4" bestFit="1" customWidth="1"/>
    <col min="13325" max="13325" width="8.109375" style="4" bestFit="1" customWidth="1"/>
    <col min="13326" max="13555" width="9.109375" style="4"/>
    <col min="13556" max="13556" width="4" style="4" bestFit="1" customWidth="1"/>
    <col min="13557" max="13557" width="1.5546875" style="4" customWidth="1"/>
    <col min="13558" max="13558" width="4.88671875" style="4" customWidth="1"/>
    <col min="13559" max="13559" width="5.6640625" style="4" customWidth="1"/>
    <col min="13560" max="13560" width="0.44140625" style="4" customWidth="1"/>
    <col min="13561" max="13561" width="47" style="4" bestFit="1" customWidth="1"/>
    <col min="13562" max="13562" width="0.109375" style="4" customWidth="1"/>
    <col min="13563" max="13563" width="12.33203125" style="4" customWidth="1"/>
    <col min="13564" max="13564" width="0.109375" style="4" customWidth="1"/>
    <col min="13565" max="13578" width="0" style="4" hidden="1" customWidth="1"/>
    <col min="13579" max="13579" width="13.33203125" style="4" bestFit="1" customWidth="1"/>
    <col min="13580" max="13580" width="11.5546875" style="4" bestFit="1" customWidth="1"/>
    <col min="13581" max="13581" width="8.109375" style="4" bestFit="1" customWidth="1"/>
    <col min="13582" max="13811" width="9.109375" style="4"/>
    <col min="13812" max="13812" width="4" style="4" bestFit="1" customWidth="1"/>
    <col min="13813" max="13813" width="1.5546875" style="4" customWidth="1"/>
    <col min="13814" max="13814" width="4.88671875" style="4" customWidth="1"/>
    <col min="13815" max="13815" width="5.6640625" style="4" customWidth="1"/>
    <col min="13816" max="13816" width="0.44140625" style="4" customWidth="1"/>
    <col min="13817" max="13817" width="47" style="4" bestFit="1" customWidth="1"/>
    <col min="13818" max="13818" width="0.109375" style="4" customWidth="1"/>
    <col min="13819" max="13819" width="12.33203125" style="4" customWidth="1"/>
    <col min="13820" max="13820" width="0.109375" style="4" customWidth="1"/>
    <col min="13821" max="13834" width="0" style="4" hidden="1" customWidth="1"/>
    <col min="13835" max="13835" width="13.33203125" style="4" bestFit="1" customWidth="1"/>
    <col min="13836" max="13836" width="11.5546875" style="4" bestFit="1" customWidth="1"/>
    <col min="13837" max="13837" width="8.109375" style="4" bestFit="1" customWidth="1"/>
    <col min="13838" max="14067" width="9.109375" style="4"/>
    <col min="14068" max="14068" width="4" style="4" bestFit="1" customWidth="1"/>
    <col min="14069" max="14069" width="1.5546875" style="4" customWidth="1"/>
    <col min="14070" max="14070" width="4.88671875" style="4" customWidth="1"/>
    <col min="14071" max="14071" width="5.6640625" style="4" customWidth="1"/>
    <col min="14072" max="14072" width="0.44140625" style="4" customWidth="1"/>
    <col min="14073" max="14073" width="47" style="4" bestFit="1" customWidth="1"/>
    <col min="14074" max="14074" width="0.109375" style="4" customWidth="1"/>
    <col min="14075" max="14075" width="12.33203125" style="4" customWidth="1"/>
    <col min="14076" max="14076" width="0.109375" style="4" customWidth="1"/>
    <col min="14077" max="14090" width="0" style="4" hidden="1" customWidth="1"/>
    <col min="14091" max="14091" width="13.33203125" style="4" bestFit="1" customWidth="1"/>
    <col min="14092" max="14092" width="11.5546875" style="4" bestFit="1" customWidth="1"/>
    <col min="14093" max="14093" width="8.109375" style="4" bestFit="1" customWidth="1"/>
    <col min="14094" max="14323" width="9.109375" style="4"/>
    <col min="14324" max="14324" width="4" style="4" bestFit="1" customWidth="1"/>
    <col min="14325" max="14325" width="1.5546875" style="4" customWidth="1"/>
    <col min="14326" max="14326" width="4.88671875" style="4" customWidth="1"/>
    <col min="14327" max="14327" width="5.6640625" style="4" customWidth="1"/>
    <col min="14328" max="14328" width="0.44140625" style="4" customWidth="1"/>
    <col min="14329" max="14329" width="47" style="4" bestFit="1" customWidth="1"/>
    <col min="14330" max="14330" width="0.109375" style="4" customWidth="1"/>
    <col min="14331" max="14331" width="12.33203125" style="4" customWidth="1"/>
    <col min="14332" max="14332" width="0.109375" style="4" customWidth="1"/>
    <col min="14333" max="14346" width="0" style="4" hidden="1" customWidth="1"/>
    <col min="14347" max="14347" width="13.33203125" style="4" bestFit="1" customWidth="1"/>
    <col min="14348" max="14348" width="11.5546875" style="4" bestFit="1" customWidth="1"/>
    <col min="14349" max="14349" width="8.109375" style="4" bestFit="1" customWidth="1"/>
    <col min="14350" max="14579" width="9.109375" style="4"/>
    <col min="14580" max="14580" width="4" style="4" bestFit="1" customWidth="1"/>
    <col min="14581" max="14581" width="1.5546875" style="4" customWidth="1"/>
    <col min="14582" max="14582" width="4.88671875" style="4" customWidth="1"/>
    <col min="14583" max="14583" width="5.6640625" style="4" customWidth="1"/>
    <col min="14584" max="14584" width="0.44140625" style="4" customWidth="1"/>
    <col min="14585" max="14585" width="47" style="4" bestFit="1" customWidth="1"/>
    <col min="14586" max="14586" width="0.109375" style="4" customWidth="1"/>
    <col min="14587" max="14587" width="12.33203125" style="4" customWidth="1"/>
    <col min="14588" max="14588" width="0.109375" style="4" customWidth="1"/>
    <col min="14589" max="14602" width="0" style="4" hidden="1" customWidth="1"/>
    <col min="14603" max="14603" width="13.33203125" style="4" bestFit="1" customWidth="1"/>
    <col min="14604" max="14604" width="11.5546875" style="4" bestFit="1" customWidth="1"/>
    <col min="14605" max="14605" width="8.109375" style="4" bestFit="1" customWidth="1"/>
    <col min="14606" max="14835" width="9.109375" style="4"/>
    <col min="14836" max="14836" width="4" style="4" bestFit="1" customWidth="1"/>
    <col min="14837" max="14837" width="1.5546875" style="4" customWidth="1"/>
    <col min="14838" max="14838" width="4.88671875" style="4" customWidth="1"/>
    <col min="14839" max="14839" width="5.6640625" style="4" customWidth="1"/>
    <col min="14840" max="14840" width="0.44140625" style="4" customWidth="1"/>
    <col min="14841" max="14841" width="47" style="4" bestFit="1" customWidth="1"/>
    <col min="14842" max="14842" width="0.109375" style="4" customWidth="1"/>
    <col min="14843" max="14843" width="12.33203125" style="4" customWidth="1"/>
    <col min="14844" max="14844" width="0.109375" style="4" customWidth="1"/>
    <col min="14845" max="14858" width="0" style="4" hidden="1" customWidth="1"/>
    <col min="14859" max="14859" width="13.33203125" style="4" bestFit="1" customWidth="1"/>
    <col min="14860" max="14860" width="11.5546875" style="4" bestFit="1" customWidth="1"/>
    <col min="14861" max="14861" width="8.109375" style="4" bestFit="1" customWidth="1"/>
    <col min="14862" max="15091" width="9.109375" style="4"/>
    <col min="15092" max="15092" width="4" style="4" bestFit="1" customWidth="1"/>
    <col min="15093" max="15093" width="1.5546875" style="4" customWidth="1"/>
    <col min="15094" max="15094" width="4.88671875" style="4" customWidth="1"/>
    <col min="15095" max="15095" width="5.6640625" style="4" customWidth="1"/>
    <col min="15096" max="15096" width="0.44140625" style="4" customWidth="1"/>
    <col min="15097" max="15097" width="47" style="4" bestFit="1" customWidth="1"/>
    <col min="15098" max="15098" width="0.109375" style="4" customWidth="1"/>
    <col min="15099" max="15099" width="12.33203125" style="4" customWidth="1"/>
    <col min="15100" max="15100" width="0.109375" style="4" customWidth="1"/>
    <col min="15101" max="15114" width="0" style="4" hidden="1" customWidth="1"/>
    <col min="15115" max="15115" width="13.33203125" style="4" bestFit="1" customWidth="1"/>
    <col min="15116" max="15116" width="11.5546875" style="4" bestFit="1" customWidth="1"/>
    <col min="15117" max="15117" width="8.109375" style="4" bestFit="1" customWidth="1"/>
    <col min="15118" max="15347" width="9.109375" style="4"/>
    <col min="15348" max="15348" width="4" style="4" bestFit="1" customWidth="1"/>
    <col min="15349" max="15349" width="1.5546875" style="4" customWidth="1"/>
    <col min="15350" max="15350" width="4.88671875" style="4" customWidth="1"/>
    <col min="15351" max="15351" width="5.6640625" style="4" customWidth="1"/>
    <col min="15352" max="15352" width="0.44140625" style="4" customWidth="1"/>
    <col min="15353" max="15353" width="47" style="4" bestFit="1" customWidth="1"/>
    <col min="15354" max="15354" width="0.109375" style="4" customWidth="1"/>
    <col min="15355" max="15355" width="12.33203125" style="4" customWidth="1"/>
    <col min="15356" max="15356" width="0.109375" style="4" customWidth="1"/>
    <col min="15357" max="15370" width="0" style="4" hidden="1" customWidth="1"/>
    <col min="15371" max="15371" width="13.33203125" style="4" bestFit="1" customWidth="1"/>
    <col min="15372" max="15372" width="11.5546875" style="4" bestFit="1" customWidth="1"/>
    <col min="15373" max="15373" width="8.109375" style="4" bestFit="1" customWidth="1"/>
    <col min="15374" max="15603" width="9.109375" style="4"/>
    <col min="15604" max="15604" width="4" style="4" bestFit="1" customWidth="1"/>
    <col min="15605" max="15605" width="1.5546875" style="4" customWidth="1"/>
    <col min="15606" max="15606" width="4.88671875" style="4" customWidth="1"/>
    <col min="15607" max="15607" width="5.6640625" style="4" customWidth="1"/>
    <col min="15608" max="15608" width="0.44140625" style="4" customWidth="1"/>
    <col min="15609" max="15609" width="47" style="4" bestFit="1" customWidth="1"/>
    <col min="15610" max="15610" width="0.109375" style="4" customWidth="1"/>
    <col min="15611" max="15611" width="12.33203125" style="4" customWidth="1"/>
    <col min="15612" max="15612" width="0.109375" style="4" customWidth="1"/>
    <col min="15613" max="15626" width="0" style="4" hidden="1" customWidth="1"/>
    <col min="15627" max="15627" width="13.33203125" style="4" bestFit="1" customWidth="1"/>
    <col min="15628" max="15628" width="11.5546875" style="4" bestFit="1" customWidth="1"/>
    <col min="15629" max="15629" width="8.109375" style="4" bestFit="1" customWidth="1"/>
    <col min="15630" max="15859" width="9.109375" style="4"/>
    <col min="15860" max="15860" width="4" style="4" bestFit="1" customWidth="1"/>
    <col min="15861" max="15861" width="1.5546875" style="4" customWidth="1"/>
    <col min="15862" max="15862" width="4.88671875" style="4" customWidth="1"/>
    <col min="15863" max="15863" width="5.6640625" style="4" customWidth="1"/>
    <col min="15864" max="15864" width="0.44140625" style="4" customWidth="1"/>
    <col min="15865" max="15865" width="47" style="4" bestFit="1" customWidth="1"/>
    <col min="15866" max="15866" width="0.109375" style="4" customWidth="1"/>
    <col min="15867" max="15867" width="12.33203125" style="4" customWidth="1"/>
    <col min="15868" max="15868" width="0.109375" style="4" customWidth="1"/>
    <col min="15869" max="15882" width="0" style="4" hidden="1" customWidth="1"/>
    <col min="15883" max="15883" width="13.33203125" style="4" bestFit="1" customWidth="1"/>
    <col min="15884" max="15884" width="11.5546875" style="4" bestFit="1" customWidth="1"/>
    <col min="15885" max="15885" width="8.109375" style="4" bestFit="1" customWidth="1"/>
    <col min="15886" max="16115" width="9.109375" style="4"/>
    <col min="16116" max="16116" width="4" style="4" bestFit="1" customWidth="1"/>
    <col min="16117" max="16117" width="1.5546875" style="4" customWidth="1"/>
    <col min="16118" max="16118" width="4.88671875" style="4" customWidth="1"/>
    <col min="16119" max="16119" width="5.6640625" style="4" customWidth="1"/>
    <col min="16120" max="16120" width="0.44140625" style="4" customWidth="1"/>
    <col min="16121" max="16121" width="47" style="4" bestFit="1" customWidth="1"/>
    <col min="16122" max="16122" width="0.109375" style="4" customWidth="1"/>
    <col min="16123" max="16123" width="12.33203125" style="4" customWidth="1"/>
    <col min="16124" max="16124" width="0.109375" style="4" customWidth="1"/>
    <col min="16125" max="16138" width="0" style="4" hidden="1" customWidth="1"/>
    <col min="16139" max="16139" width="13.33203125" style="4" bestFit="1" customWidth="1"/>
    <col min="16140" max="16140" width="11.5546875" style="4" bestFit="1" customWidth="1"/>
    <col min="16141" max="16141" width="8.109375" style="4" bestFit="1" customWidth="1"/>
    <col min="16142" max="16384" width="9.109375" style="4"/>
  </cols>
  <sheetData>
    <row r="2" spans="1:30" ht="17.399999999999999" x14ac:dyDescent="0.3">
      <c r="A2" s="1" t="s">
        <v>0</v>
      </c>
      <c r="B2" s="2"/>
      <c r="C2" s="2"/>
      <c r="D2" s="2"/>
      <c r="E2" s="2"/>
      <c r="F2" s="2" t="s">
        <v>1</v>
      </c>
      <c r="G2" s="2"/>
    </row>
    <row r="3" spans="1:30" ht="17.399999999999999" x14ac:dyDescent="0.3">
      <c r="A3" s="1"/>
      <c r="B3" s="5" t="s">
        <v>297</v>
      </c>
      <c r="C3" s="2"/>
      <c r="D3" s="2"/>
      <c r="E3" s="2"/>
      <c r="F3" s="6"/>
      <c r="G3" s="6"/>
      <c r="H3" s="91" t="s">
        <v>2</v>
      </c>
      <c r="I3" s="80" t="s">
        <v>313</v>
      </c>
      <c r="J3" s="80" t="s">
        <v>314</v>
      </c>
      <c r="K3" s="63" t="s">
        <v>3</v>
      </c>
      <c r="L3" s="61" t="s">
        <v>4</v>
      </c>
      <c r="M3" s="3" t="s">
        <v>5</v>
      </c>
      <c r="N3" s="80" t="s">
        <v>342</v>
      </c>
      <c r="O3" s="80" t="s">
        <v>343</v>
      </c>
      <c r="P3" s="80" t="s">
        <v>344</v>
      </c>
      <c r="Q3" s="80" t="s">
        <v>346</v>
      </c>
      <c r="R3" s="63" t="s">
        <v>3</v>
      </c>
      <c r="S3" s="61" t="s">
        <v>4</v>
      </c>
      <c r="T3" s="3" t="s">
        <v>5</v>
      </c>
      <c r="U3" s="80" t="s">
        <v>350</v>
      </c>
      <c r="V3" s="63" t="s">
        <v>3</v>
      </c>
      <c r="W3" s="61" t="s">
        <v>4</v>
      </c>
      <c r="X3" s="3" t="s">
        <v>5</v>
      </c>
      <c r="Y3" s="80" t="s">
        <v>361</v>
      </c>
      <c r="Z3" s="80" t="s">
        <v>362</v>
      </c>
      <c r="AA3" s="80" t="s">
        <v>363</v>
      </c>
      <c r="AB3" s="63" t="s">
        <v>3</v>
      </c>
      <c r="AC3" s="61" t="s">
        <v>4</v>
      </c>
      <c r="AD3" s="3" t="s">
        <v>5</v>
      </c>
    </row>
    <row r="4" spans="1:30" ht="16.95" customHeight="1" x14ac:dyDescent="0.25">
      <c r="A4" s="7"/>
      <c r="B4" s="8"/>
      <c r="C4" s="9"/>
      <c r="D4" s="9"/>
      <c r="E4" s="9"/>
      <c r="F4" s="9" t="s">
        <v>331</v>
      </c>
      <c r="G4" s="9"/>
      <c r="H4" s="92" t="s">
        <v>315</v>
      </c>
      <c r="I4" s="93"/>
      <c r="J4" s="93"/>
      <c r="K4" s="64" t="s">
        <v>333</v>
      </c>
      <c r="L4" s="62" t="s">
        <v>333</v>
      </c>
      <c r="M4" s="10"/>
      <c r="N4" s="93"/>
      <c r="O4" s="93"/>
      <c r="P4" s="93"/>
      <c r="Q4" s="93"/>
      <c r="R4" s="64" t="s">
        <v>345</v>
      </c>
      <c r="S4" s="62" t="s">
        <v>345</v>
      </c>
      <c r="T4" s="10"/>
      <c r="U4" s="93"/>
      <c r="V4" s="64" t="s">
        <v>351</v>
      </c>
      <c r="W4" s="62" t="s">
        <v>351</v>
      </c>
      <c r="X4" s="10"/>
      <c r="Y4" s="93"/>
      <c r="Z4" s="93"/>
      <c r="AA4" s="93"/>
      <c r="AB4" s="64" t="s">
        <v>368</v>
      </c>
      <c r="AC4" s="62"/>
      <c r="AD4" s="10"/>
    </row>
    <row r="5" spans="1:30" x14ac:dyDescent="0.25">
      <c r="A5" s="7"/>
      <c r="B5" s="11" t="s">
        <v>6</v>
      </c>
      <c r="C5" s="11"/>
      <c r="D5" s="11"/>
      <c r="E5" s="11"/>
      <c r="F5" s="11"/>
      <c r="G5" s="11"/>
    </row>
    <row r="6" spans="1:30" x14ac:dyDescent="0.25">
      <c r="A6" s="7"/>
      <c r="B6" s="9" t="s">
        <v>7</v>
      </c>
      <c r="C6" s="9"/>
      <c r="D6" s="9"/>
      <c r="E6" s="9"/>
      <c r="F6" s="13"/>
      <c r="G6" s="13"/>
    </row>
    <row r="7" spans="1:30" x14ac:dyDescent="0.25">
      <c r="A7" s="7"/>
      <c r="B7" s="9"/>
      <c r="C7" s="9"/>
      <c r="D7" s="9"/>
      <c r="E7" s="9"/>
      <c r="F7" s="9"/>
      <c r="G7" s="9"/>
      <c r="M7" s="14"/>
      <c r="T7" s="14"/>
      <c r="X7" s="14"/>
      <c r="AD7" s="14"/>
    </row>
    <row r="8" spans="1:30" x14ac:dyDescent="0.25">
      <c r="A8" s="7">
        <v>1</v>
      </c>
      <c r="B8" s="9"/>
      <c r="C8" s="9">
        <v>6330</v>
      </c>
      <c r="D8" s="9">
        <v>4137</v>
      </c>
      <c r="E8" s="9"/>
      <c r="F8" s="9" t="s">
        <v>8</v>
      </c>
      <c r="G8" s="9"/>
      <c r="H8" s="87">
        <v>120400</v>
      </c>
      <c r="K8" s="89">
        <f>H8+I8+J8</f>
        <v>120400</v>
      </c>
      <c r="L8" s="90">
        <f>10000*3</f>
        <v>30000</v>
      </c>
      <c r="M8" s="14">
        <f>IF($K8=0,0,L8/$K8)</f>
        <v>0.24916943521594684</v>
      </c>
      <c r="R8" s="89">
        <f>H8+I8+J8+N8+O8+P8+Q8</f>
        <v>120400</v>
      </c>
      <c r="S8" s="90">
        <f>10000*6</f>
        <v>60000</v>
      </c>
      <c r="T8" s="14">
        <f>IF($R8=0,0,S8/$R8)</f>
        <v>0.49833887043189368</v>
      </c>
      <c r="V8" s="89">
        <f>H8+I8+J8+N8+O8+P8+Q8+U8</f>
        <v>120400</v>
      </c>
      <c r="W8" s="90">
        <f>10000*9</f>
        <v>90000</v>
      </c>
      <c r="X8" s="14">
        <f>IF($V8=0,0,W8/$V8)</f>
        <v>0.74750830564784054</v>
      </c>
      <c r="Z8" s="88">
        <v>7300</v>
      </c>
      <c r="AB8" s="89">
        <f>H8+I8+J8+N8+O8+P8+Q8+U8+Y8+Z8+AA8</f>
        <v>127700</v>
      </c>
      <c r="AC8" s="90">
        <v>127700</v>
      </c>
      <c r="AD8" s="14">
        <f>IF($AB8=0,0,AC8/$AB8)</f>
        <v>1</v>
      </c>
    </row>
    <row r="9" spans="1:30" x14ac:dyDescent="0.25">
      <c r="A9" s="7">
        <v>2</v>
      </c>
      <c r="B9" s="9"/>
      <c r="C9" s="9">
        <v>6330</v>
      </c>
      <c r="D9" s="9">
        <v>4137</v>
      </c>
      <c r="E9" s="9" t="s">
        <v>9</v>
      </c>
      <c r="F9" s="9" t="s">
        <v>332</v>
      </c>
      <c r="G9" s="9"/>
      <c r="H9" s="87">
        <v>0</v>
      </c>
      <c r="I9" s="88">
        <v>92200</v>
      </c>
      <c r="K9" s="89">
        <f t="shared" ref="K9:K10" si="0">H9+I9+J9</f>
        <v>92200</v>
      </c>
      <c r="L9" s="90">
        <v>92200</v>
      </c>
      <c r="M9" s="14">
        <f t="shared" ref="M9:M74" si="1">IF($K9=0,0,L9/$K9)</f>
        <v>1</v>
      </c>
      <c r="R9" s="89">
        <f t="shared" ref="R9:R10" si="2">H9+I9+J9+N9+O9+P9+Q9</f>
        <v>92200</v>
      </c>
      <c r="S9" s="90">
        <v>92200</v>
      </c>
      <c r="T9" s="14">
        <f t="shared" ref="T9:T74" si="3">IF($R9=0,0,S9/$R9)</f>
        <v>1</v>
      </c>
      <c r="V9" s="89">
        <f t="shared" ref="V9:V10" si="4">H9+I9+J9+N9+O9+P9+Q9+U9</f>
        <v>92200</v>
      </c>
      <c r="W9" s="90">
        <v>92200</v>
      </c>
      <c r="X9" s="14">
        <f t="shared" ref="X9:X73" si="5">IF($V9=0,0,W9/$V9)</f>
        <v>1</v>
      </c>
      <c r="AB9" s="89">
        <f t="shared" ref="AB9:AB10" si="6">H9+I9+J9+N9+O9+P9+Q9+U9+Y9+Z9+AA9</f>
        <v>92200</v>
      </c>
      <c r="AC9" s="90">
        <v>92200</v>
      </c>
      <c r="AD9" s="14">
        <f t="shared" ref="AD9:AD72" si="7">IF($AB9=0,0,AC9/$AB9)</f>
        <v>1</v>
      </c>
    </row>
    <row r="10" spans="1:30" x14ac:dyDescent="0.25">
      <c r="A10" s="7">
        <v>3</v>
      </c>
      <c r="B10" s="9"/>
      <c r="C10" s="9">
        <v>6330</v>
      </c>
      <c r="D10" s="9">
        <v>4137</v>
      </c>
      <c r="E10" s="9"/>
      <c r="F10" s="9"/>
      <c r="G10" s="9"/>
      <c r="H10" s="87">
        <v>0</v>
      </c>
      <c r="K10" s="89">
        <f t="shared" si="0"/>
        <v>0</v>
      </c>
      <c r="M10" s="14">
        <f t="shared" si="1"/>
        <v>0</v>
      </c>
      <c r="R10" s="89">
        <f t="shared" si="2"/>
        <v>0</v>
      </c>
      <c r="S10" s="90">
        <v>0</v>
      </c>
      <c r="T10" s="14">
        <f t="shared" si="3"/>
        <v>0</v>
      </c>
      <c r="V10" s="89">
        <f t="shared" si="4"/>
        <v>0</v>
      </c>
      <c r="W10" s="90">
        <v>0</v>
      </c>
      <c r="X10" s="14">
        <f t="shared" si="5"/>
        <v>0</v>
      </c>
      <c r="AB10" s="89">
        <f t="shared" si="6"/>
        <v>0</v>
      </c>
      <c r="AC10" s="90">
        <v>0</v>
      </c>
      <c r="AD10" s="14">
        <f t="shared" si="7"/>
        <v>0</v>
      </c>
    </row>
    <row r="11" spans="1:30" ht="13.8" thickBot="1" x14ac:dyDescent="0.3">
      <c r="A11" s="7">
        <v>4</v>
      </c>
      <c r="B11" s="9"/>
      <c r="C11" s="16" t="s">
        <v>10</v>
      </c>
      <c r="D11" s="16"/>
      <c r="E11" s="16"/>
      <c r="F11" s="17"/>
      <c r="G11" s="17"/>
      <c r="H11" s="65">
        <f>SUM(H7:H10)</f>
        <v>120400</v>
      </c>
      <c r="I11" s="78">
        <f>SUM(I7:I10)</f>
        <v>92200</v>
      </c>
      <c r="J11" s="78">
        <f>SUM(J7:J10)</f>
        <v>0</v>
      </c>
      <c r="K11" s="18">
        <f>SUM(K7:K10)</f>
        <v>212600</v>
      </c>
      <c r="L11" s="101">
        <f>SUM(L7:L10)</f>
        <v>122200</v>
      </c>
      <c r="M11" s="78">
        <f t="shared" ref="M11" si="8">SUM(M7:M10)</f>
        <v>1.2491694352159468</v>
      </c>
      <c r="N11" s="78">
        <f t="shared" ref="N11:S11" si="9">SUM(N7:N10)</f>
        <v>0</v>
      </c>
      <c r="O11" s="78">
        <f t="shared" si="9"/>
        <v>0</v>
      </c>
      <c r="P11" s="78">
        <f t="shared" si="9"/>
        <v>0</v>
      </c>
      <c r="Q11" s="78">
        <f t="shared" si="9"/>
        <v>0</v>
      </c>
      <c r="R11" s="18">
        <f t="shared" si="9"/>
        <v>212600</v>
      </c>
      <c r="S11" s="101">
        <f t="shared" si="9"/>
        <v>152200</v>
      </c>
      <c r="T11" s="112">
        <f t="shared" si="3"/>
        <v>0.71589840075258704</v>
      </c>
      <c r="U11" s="78">
        <f t="shared" ref="U11" si="10">SUM(U7:U10)</f>
        <v>0</v>
      </c>
      <c r="V11" s="18">
        <f t="shared" ref="V11" si="11">SUM(V7:V10)</f>
        <v>212600</v>
      </c>
      <c r="W11" s="101">
        <f t="shared" ref="W11" si="12">SUM(W7:W10)</f>
        <v>182200</v>
      </c>
      <c r="X11" s="112">
        <f t="shared" si="5"/>
        <v>0.85700846660395114</v>
      </c>
      <c r="Y11" s="78">
        <f t="shared" ref="Y11:AC11" si="13">SUM(Y7:Y10)</f>
        <v>0</v>
      </c>
      <c r="Z11" s="78">
        <f t="shared" si="13"/>
        <v>7300</v>
      </c>
      <c r="AA11" s="78">
        <f t="shared" si="13"/>
        <v>0</v>
      </c>
      <c r="AB11" s="18">
        <f t="shared" si="13"/>
        <v>219900</v>
      </c>
      <c r="AC11" s="101">
        <f t="shared" si="13"/>
        <v>219900</v>
      </c>
      <c r="AD11" s="112">
        <f t="shared" si="7"/>
        <v>1</v>
      </c>
    </row>
    <row r="12" spans="1:30" ht="13.8" thickTop="1" x14ac:dyDescent="0.25">
      <c r="A12" s="7">
        <v>5</v>
      </c>
      <c r="B12" s="9"/>
      <c r="C12" s="9"/>
      <c r="D12" s="9"/>
      <c r="E12" s="9"/>
      <c r="F12" s="13"/>
      <c r="G12" s="13"/>
      <c r="M12" s="14">
        <f t="shared" si="1"/>
        <v>0</v>
      </c>
      <c r="T12" s="14">
        <f t="shared" si="3"/>
        <v>0</v>
      </c>
      <c r="X12" s="14">
        <f t="shared" si="5"/>
        <v>0</v>
      </c>
      <c r="AD12" s="14">
        <f t="shared" si="7"/>
        <v>0</v>
      </c>
    </row>
    <row r="13" spans="1:30" x14ac:dyDescent="0.25">
      <c r="A13" s="7">
        <v>6</v>
      </c>
      <c r="B13" s="9" t="s">
        <v>11</v>
      </c>
      <c r="C13" s="9"/>
      <c r="D13" s="9"/>
      <c r="E13" s="9"/>
      <c r="F13" s="13"/>
      <c r="G13" s="13"/>
      <c r="M13" s="14">
        <f t="shared" si="1"/>
        <v>0</v>
      </c>
      <c r="T13" s="14">
        <f t="shared" si="3"/>
        <v>0</v>
      </c>
      <c r="X13" s="14">
        <f t="shared" si="5"/>
        <v>0</v>
      </c>
      <c r="AD13" s="14">
        <f t="shared" si="7"/>
        <v>0</v>
      </c>
    </row>
    <row r="14" spans="1:30" x14ac:dyDescent="0.25">
      <c r="A14" s="7">
        <v>7</v>
      </c>
      <c r="B14" s="9"/>
      <c r="C14" s="9"/>
      <c r="D14" s="9">
        <v>1511</v>
      </c>
      <c r="E14" s="9"/>
      <c r="F14" s="9" t="s">
        <v>12</v>
      </c>
      <c r="G14" s="9"/>
      <c r="H14" s="87">
        <v>5500000</v>
      </c>
      <c r="K14" s="89">
        <f t="shared" ref="K14:K35" si="14">H14+I14+J14</f>
        <v>5500000</v>
      </c>
      <c r="M14" s="14">
        <f t="shared" si="1"/>
        <v>0</v>
      </c>
      <c r="R14" s="89">
        <f t="shared" ref="R14:R35" si="15">H14+I14+J14+N14+O14+P14+Q14</f>
        <v>5500000</v>
      </c>
      <c r="S14" s="90">
        <v>258203.47</v>
      </c>
      <c r="T14" s="14">
        <f t="shared" si="3"/>
        <v>4.6946085454545455E-2</v>
      </c>
      <c r="V14" s="89">
        <f t="shared" ref="V14:V35" si="16">H14+I14+J14+N14+O14+P14+Q14+U14</f>
        <v>5500000</v>
      </c>
      <c r="W14" s="90">
        <v>4823187.13</v>
      </c>
      <c r="X14" s="14">
        <f t="shared" si="5"/>
        <v>0.87694311454545448</v>
      </c>
      <c r="AB14" s="89">
        <f t="shared" ref="AB14:AB35" si="17">H14+I14+J14+N14+O14+P14+Q14+U14+Y14+Z14+AA14</f>
        <v>5500000</v>
      </c>
      <c r="AC14" s="90">
        <v>5873684.5999999996</v>
      </c>
      <c r="AD14" s="14">
        <f t="shared" si="7"/>
        <v>1.0679426545454545</v>
      </c>
    </row>
    <row r="15" spans="1:30" x14ac:dyDescent="0.25">
      <c r="A15" s="7">
        <v>8</v>
      </c>
      <c r="B15" s="9"/>
      <c r="C15" s="9">
        <v>6330</v>
      </c>
      <c r="D15" s="9">
        <v>4137</v>
      </c>
      <c r="E15" s="9"/>
      <c r="F15" s="9" t="s">
        <v>13</v>
      </c>
      <c r="G15" s="9"/>
      <c r="H15" s="87">
        <f>23488000+575000</f>
        <v>24063000</v>
      </c>
      <c r="K15" s="89">
        <f t="shared" si="14"/>
        <v>24063000</v>
      </c>
      <c r="L15" s="90">
        <f>6016000</f>
        <v>6016000</v>
      </c>
      <c r="M15" s="14">
        <f t="shared" si="1"/>
        <v>0.25001038939450609</v>
      </c>
      <c r="R15" s="89">
        <f t="shared" si="15"/>
        <v>24063000</v>
      </c>
      <c r="S15" s="90">
        <f>6016000+6016000</f>
        <v>12032000</v>
      </c>
      <c r="T15" s="14">
        <f t="shared" si="3"/>
        <v>0.50002077878901219</v>
      </c>
      <c r="V15" s="89">
        <f t="shared" si="16"/>
        <v>24063000</v>
      </c>
      <c r="W15" s="90">
        <f>6016000+6016000+6016000</f>
        <v>18048000</v>
      </c>
      <c r="X15" s="14">
        <f t="shared" si="5"/>
        <v>0.75003116818351823</v>
      </c>
      <c r="AB15" s="89">
        <f t="shared" si="17"/>
        <v>24063000</v>
      </c>
      <c r="AC15" s="90">
        <v>24063000</v>
      </c>
      <c r="AD15" s="14">
        <f t="shared" si="7"/>
        <v>1</v>
      </c>
    </row>
    <row r="16" spans="1:30" x14ac:dyDescent="0.25">
      <c r="A16" s="7">
        <v>9</v>
      </c>
      <c r="B16" s="9"/>
      <c r="C16" s="9">
        <v>6330</v>
      </c>
      <c r="D16" s="9">
        <v>4137</v>
      </c>
      <c r="E16" s="9"/>
      <c r="F16" s="9" t="s">
        <v>14</v>
      </c>
      <c r="G16" s="8" t="s">
        <v>15</v>
      </c>
      <c r="H16" s="87">
        <v>11524000</v>
      </c>
      <c r="K16" s="89">
        <f t="shared" si="14"/>
        <v>11524000</v>
      </c>
      <c r="M16" s="14">
        <f t="shared" si="1"/>
        <v>0</v>
      </c>
      <c r="R16" s="89">
        <f t="shared" si="15"/>
        <v>11524000</v>
      </c>
      <c r="S16" s="90">
        <v>5762000</v>
      </c>
      <c r="T16" s="14">
        <f t="shared" si="3"/>
        <v>0.5</v>
      </c>
      <c r="V16" s="89">
        <f t="shared" si="16"/>
        <v>11524000</v>
      </c>
      <c r="W16" s="90">
        <v>5762000</v>
      </c>
      <c r="X16" s="14">
        <f t="shared" si="5"/>
        <v>0.5</v>
      </c>
      <c r="AB16" s="89">
        <f t="shared" si="17"/>
        <v>11524000</v>
      </c>
      <c r="AC16" s="90">
        <v>11524000</v>
      </c>
      <c r="AD16" s="14">
        <f t="shared" si="7"/>
        <v>1</v>
      </c>
    </row>
    <row r="17" spans="1:30" x14ac:dyDescent="0.25">
      <c r="A17" s="7">
        <v>10</v>
      </c>
      <c r="B17" s="9"/>
      <c r="C17" s="9">
        <v>6330</v>
      </c>
      <c r="D17" s="9">
        <v>4137</v>
      </c>
      <c r="E17" s="9"/>
      <c r="F17" s="9" t="s">
        <v>16</v>
      </c>
      <c r="G17" s="9"/>
      <c r="K17" s="89">
        <f t="shared" si="14"/>
        <v>0</v>
      </c>
      <c r="M17" s="14">
        <f t="shared" si="1"/>
        <v>0</v>
      </c>
      <c r="P17" s="88">
        <v>1740100</v>
      </c>
      <c r="R17" s="89">
        <f t="shared" si="15"/>
        <v>1740100</v>
      </c>
      <c r="S17" s="90">
        <v>1740100</v>
      </c>
      <c r="T17" s="14">
        <f t="shared" si="3"/>
        <v>1</v>
      </c>
      <c r="V17" s="89">
        <f t="shared" si="16"/>
        <v>1740100</v>
      </c>
      <c r="W17" s="90">
        <v>1740100</v>
      </c>
      <c r="X17" s="14">
        <f t="shared" si="5"/>
        <v>1</v>
      </c>
      <c r="AB17" s="89">
        <f t="shared" si="17"/>
        <v>1740100</v>
      </c>
      <c r="AC17" s="90">
        <v>1740100</v>
      </c>
      <c r="AD17" s="14">
        <f t="shared" si="7"/>
        <v>1</v>
      </c>
    </row>
    <row r="18" spans="1:30" x14ac:dyDescent="0.25">
      <c r="A18" s="7">
        <v>11</v>
      </c>
      <c r="B18" s="9"/>
      <c r="C18" s="9">
        <v>6330</v>
      </c>
      <c r="D18" s="9">
        <v>4137</v>
      </c>
      <c r="E18" s="9"/>
      <c r="F18" s="9" t="s">
        <v>17</v>
      </c>
      <c r="G18" s="9"/>
      <c r="K18" s="89">
        <f t="shared" si="14"/>
        <v>0</v>
      </c>
      <c r="M18" s="14">
        <f t="shared" si="1"/>
        <v>0</v>
      </c>
      <c r="R18" s="89">
        <f t="shared" si="15"/>
        <v>0</v>
      </c>
      <c r="T18" s="14">
        <f t="shared" si="3"/>
        <v>0</v>
      </c>
      <c r="U18" s="88">
        <v>8900</v>
      </c>
      <c r="V18" s="89">
        <f t="shared" si="16"/>
        <v>8900</v>
      </c>
      <c r="W18" s="90">
        <v>8900</v>
      </c>
      <c r="X18" s="14">
        <f t="shared" si="5"/>
        <v>1</v>
      </c>
      <c r="AB18" s="89">
        <f t="shared" si="17"/>
        <v>8900</v>
      </c>
      <c r="AC18" s="90">
        <v>8900</v>
      </c>
      <c r="AD18" s="14">
        <f t="shared" si="7"/>
        <v>1</v>
      </c>
    </row>
    <row r="19" spans="1:30" x14ac:dyDescent="0.25">
      <c r="A19" s="7">
        <v>12</v>
      </c>
      <c r="B19" s="9"/>
      <c r="C19" s="9">
        <v>6330</v>
      </c>
      <c r="D19" s="9">
        <v>4137</v>
      </c>
      <c r="E19" s="9"/>
      <c r="F19" s="9" t="s">
        <v>354</v>
      </c>
      <c r="G19" s="9"/>
      <c r="K19" s="89">
        <f t="shared" si="14"/>
        <v>0</v>
      </c>
      <c r="M19" s="14">
        <f t="shared" si="1"/>
        <v>0</v>
      </c>
      <c r="R19" s="89">
        <f t="shared" si="15"/>
        <v>0</v>
      </c>
      <c r="T19" s="14">
        <f t="shared" si="3"/>
        <v>0</v>
      </c>
      <c r="U19" s="88">
        <v>593000</v>
      </c>
      <c r="V19" s="89">
        <f t="shared" si="16"/>
        <v>593000</v>
      </c>
      <c r="W19" s="90">
        <v>593000</v>
      </c>
      <c r="X19" s="14">
        <f t="shared" si="5"/>
        <v>1</v>
      </c>
      <c r="AA19" s="88">
        <v>64600</v>
      </c>
      <c r="AB19" s="89">
        <f t="shared" si="17"/>
        <v>657600</v>
      </c>
      <c r="AC19" s="90">
        <f>593000+64575</f>
        <v>657575</v>
      </c>
      <c r="AD19" s="14">
        <f t="shared" si="7"/>
        <v>0.9999619829683698</v>
      </c>
    </row>
    <row r="20" spans="1:30" x14ac:dyDescent="0.25">
      <c r="A20" s="7">
        <v>13</v>
      </c>
      <c r="B20" s="9"/>
      <c r="C20" s="9">
        <v>6330</v>
      </c>
      <c r="D20" s="9">
        <v>4137</v>
      </c>
      <c r="E20" s="9"/>
      <c r="F20" s="9" t="s">
        <v>18</v>
      </c>
      <c r="G20" s="9"/>
      <c r="J20" s="88">
        <v>86300</v>
      </c>
      <c r="K20" s="89">
        <f t="shared" si="14"/>
        <v>86300</v>
      </c>
      <c r="L20" s="90">
        <v>86300</v>
      </c>
      <c r="M20" s="14">
        <f t="shared" si="1"/>
        <v>1</v>
      </c>
      <c r="O20" s="88">
        <v>1622200</v>
      </c>
      <c r="R20" s="89">
        <f t="shared" si="15"/>
        <v>1708500</v>
      </c>
      <c r="S20" s="90">
        <v>86300</v>
      </c>
      <c r="T20" s="14">
        <f t="shared" si="3"/>
        <v>5.0512145156570092E-2</v>
      </c>
      <c r="V20" s="89">
        <f t="shared" si="16"/>
        <v>1708500</v>
      </c>
      <c r="W20" s="90">
        <f>86300+811300</f>
        <v>897600</v>
      </c>
      <c r="X20" s="14">
        <f t="shared" si="5"/>
        <v>0.52537313432835819</v>
      </c>
      <c r="AB20" s="89">
        <f t="shared" si="17"/>
        <v>1708500</v>
      </c>
      <c r="AC20" s="90">
        <v>1708500</v>
      </c>
      <c r="AD20" s="14">
        <f t="shared" si="7"/>
        <v>1</v>
      </c>
    </row>
    <row r="21" spans="1:30" x14ac:dyDescent="0.25">
      <c r="A21" s="7">
        <v>14</v>
      </c>
      <c r="B21" s="9"/>
      <c r="C21" s="9">
        <v>6330</v>
      </c>
      <c r="D21" s="9">
        <v>4137</v>
      </c>
      <c r="E21" s="9"/>
      <c r="F21" s="9" t="s">
        <v>352</v>
      </c>
      <c r="G21" s="9"/>
      <c r="M21" s="14"/>
      <c r="T21" s="14"/>
      <c r="U21" s="88">
        <v>3616000</v>
      </c>
      <c r="V21" s="89">
        <f t="shared" ref="V21" si="18">H21+I21+J21+N21+O21+P21+Q21+U21</f>
        <v>3616000</v>
      </c>
      <c r="W21" s="90">
        <v>3616032</v>
      </c>
      <c r="X21" s="14">
        <f t="shared" si="5"/>
        <v>1.0000088495575221</v>
      </c>
      <c r="AB21" s="89">
        <f t="shared" si="17"/>
        <v>3616000</v>
      </c>
      <c r="AC21" s="90">
        <v>3616032</v>
      </c>
      <c r="AD21" s="14">
        <f t="shared" si="7"/>
        <v>1.0000088495575221</v>
      </c>
    </row>
    <row r="22" spans="1:30" x14ac:dyDescent="0.25">
      <c r="A22" s="7">
        <v>15</v>
      </c>
      <c r="B22" s="9"/>
      <c r="C22" s="9">
        <v>6330</v>
      </c>
      <c r="D22" s="9">
        <v>4137</v>
      </c>
      <c r="E22" s="9"/>
      <c r="F22" s="9" t="s">
        <v>19</v>
      </c>
      <c r="G22" s="9"/>
      <c r="K22" s="89">
        <f t="shared" si="14"/>
        <v>0</v>
      </c>
      <c r="M22" s="14">
        <f t="shared" si="1"/>
        <v>0</v>
      </c>
      <c r="O22" s="88">
        <v>25800</v>
      </c>
      <c r="R22" s="89">
        <f t="shared" si="15"/>
        <v>25800</v>
      </c>
      <c r="S22" s="90">
        <v>25800</v>
      </c>
      <c r="T22" s="14">
        <f t="shared" si="3"/>
        <v>1</v>
      </c>
      <c r="V22" s="89">
        <f t="shared" si="16"/>
        <v>25800</v>
      </c>
      <c r="W22" s="90">
        <v>25800</v>
      </c>
      <c r="X22" s="14">
        <f t="shared" si="5"/>
        <v>1</v>
      </c>
      <c r="AB22" s="89">
        <f t="shared" si="17"/>
        <v>25800</v>
      </c>
      <c r="AC22" s="90">
        <v>25800</v>
      </c>
      <c r="AD22" s="14">
        <f t="shared" si="7"/>
        <v>1</v>
      </c>
    </row>
    <row r="23" spans="1:30" ht="15.6" customHeight="1" x14ac:dyDescent="0.25">
      <c r="A23" s="7">
        <v>16</v>
      </c>
      <c r="B23" s="9"/>
      <c r="C23" s="9">
        <v>6330</v>
      </c>
      <c r="D23" s="9">
        <v>4137</v>
      </c>
      <c r="E23" s="9"/>
      <c r="F23" s="9" t="s">
        <v>20</v>
      </c>
      <c r="G23" s="9"/>
      <c r="K23" s="89">
        <f t="shared" si="14"/>
        <v>0</v>
      </c>
      <c r="M23" s="14">
        <f t="shared" si="1"/>
        <v>0</v>
      </c>
      <c r="Q23" s="88">
        <v>628000</v>
      </c>
      <c r="R23" s="89">
        <f t="shared" si="15"/>
        <v>628000</v>
      </c>
      <c r="T23" s="14">
        <f t="shared" si="3"/>
        <v>0</v>
      </c>
      <c r="V23" s="89">
        <f t="shared" si="16"/>
        <v>628000</v>
      </c>
      <c r="W23" s="90">
        <v>628000</v>
      </c>
      <c r="X23" s="14">
        <f t="shared" si="5"/>
        <v>1</v>
      </c>
      <c r="AA23" s="88">
        <f>109000+109000</f>
        <v>218000</v>
      </c>
      <c r="AB23" s="89">
        <f t="shared" si="17"/>
        <v>846000</v>
      </c>
      <c r="AC23" s="90">
        <f>628000+218000</f>
        <v>846000</v>
      </c>
      <c r="AD23" s="14">
        <f t="shared" si="7"/>
        <v>1</v>
      </c>
    </row>
    <row r="24" spans="1:30" hidden="1" x14ac:dyDescent="0.25">
      <c r="A24" s="7">
        <v>17</v>
      </c>
      <c r="B24" s="9"/>
      <c r="C24" s="9">
        <v>6330</v>
      </c>
      <c r="D24" s="9">
        <v>4137</v>
      </c>
      <c r="E24" s="9"/>
      <c r="F24" s="9"/>
      <c r="G24" s="9"/>
      <c r="K24" s="89">
        <f t="shared" si="14"/>
        <v>0</v>
      </c>
      <c r="M24" s="14">
        <f t="shared" si="1"/>
        <v>0</v>
      </c>
      <c r="R24" s="89">
        <f t="shared" si="15"/>
        <v>0</v>
      </c>
      <c r="T24" s="14">
        <f t="shared" si="3"/>
        <v>0</v>
      </c>
      <c r="V24" s="89">
        <f t="shared" si="16"/>
        <v>0</v>
      </c>
      <c r="X24" s="14">
        <f t="shared" si="5"/>
        <v>0</v>
      </c>
      <c r="AB24" s="89">
        <f t="shared" si="17"/>
        <v>0</v>
      </c>
      <c r="AD24" s="14">
        <f t="shared" si="7"/>
        <v>0</v>
      </c>
    </row>
    <row r="25" spans="1:30" hidden="1" x14ac:dyDescent="0.25">
      <c r="A25" s="7">
        <v>18</v>
      </c>
      <c r="B25" s="9"/>
      <c r="C25" s="9">
        <v>6330</v>
      </c>
      <c r="D25" s="9">
        <v>4137</v>
      </c>
      <c r="E25" s="9"/>
      <c r="F25" s="9"/>
      <c r="G25" s="9"/>
      <c r="K25" s="89">
        <f t="shared" si="14"/>
        <v>0</v>
      </c>
      <c r="M25" s="14">
        <f t="shared" si="1"/>
        <v>0</v>
      </c>
      <c r="R25" s="89">
        <f t="shared" si="15"/>
        <v>0</v>
      </c>
      <c r="T25" s="14">
        <f t="shared" si="3"/>
        <v>0</v>
      </c>
      <c r="V25" s="89">
        <f t="shared" si="16"/>
        <v>0</v>
      </c>
      <c r="X25" s="14">
        <f t="shared" si="5"/>
        <v>0</v>
      </c>
      <c r="AB25" s="89">
        <f t="shared" si="17"/>
        <v>0</v>
      </c>
      <c r="AD25" s="14">
        <f t="shared" si="7"/>
        <v>0</v>
      </c>
    </row>
    <row r="26" spans="1:30" hidden="1" x14ac:dyDescent="0.25">
      <c r="A26" s="7">
        <v>19</v>
      </c>
      <c r="B26" s="9"/>
      <c r="C26" s="9">
        <v>6330</v>
      </c>
      <c r="D26" s="9">
        <v>4137</v>
      </c>
      <c r="E26" s="9"/>
      <c r="F26" s="9"/>
      <c r="G26" s="9"/>
      <c r="K26" s="89">
        <f t="shared" si="14"/>
        <v>0</v>
      </c>
      <c r="M26" s="14">
        <f t="shared" si="1"/>
        <v>0</v>
      </c>
      <c r="R26" s="89">
        <f t="shared" si="15"/>
        <v>0</v>
      </c>
      <c r="T26" s="14">
        <f t="shared" si="3"/>
        <v>0</v>
      </c>
      <c r="V26" s="89">
        <f t="shared" si="16"/>
        <v>0</v>
      </c>
      <c r="X26" s="14">
        <f t="shared" si="5"/>
        <v>0</v>
      </c>
      <c r="AB26" s="89">
        <f t="shared" si="17"/>
        <v>0</v>
      </c>
      <c r="AD26" s="14">
        <f t="shared" si="7"/>
        <v>0</v>
      </c>
    </row>
    <row r="27" spans="1:30" hidden="1" x14ac:dyDescent="0.25">
      <c r="A27" s="7">
        <v>20</v>
      </c>
      <c r="B27" s="9"/>
      <c r="C27" s="9">
        <v>6330</v>
      </c>
      <c r="D27" s="9">
        <v>4137</v>
      </c>
      <c r="E27" s="9"/>
      <c r="G27" s="9"/>
      <c r="K27" s="89">
        <f t="shared" si="14"/>
        <v>0</v>
      </c>
      <c r="M27" s="14">
        <f t="shared" si="1"/>
        <v>0</v>
      </c>
      <c r="R27" s="89">
        <f t="shared" si="15"/>
        <v>0</v>
      </c>
      <c r="T27" s="14">
        <f t="shared" si="3"/>
        <v>0</v>
      </c>
      <c r="V27" s="89">
        <f t="shared" si="16"/>
        <v>0</v>
      </c>
      <c r="X27" s="14">
        <f t="shared" si="5"/>
        <v>0</v>
      </c>
      <c r="AB27" s="89">
        <f t="shared" si="17"/>
        <v>0</v>
      </c>
      <c r="AD27" s="14">
        <f t="shared" si="7"/>
        <v>0</v>
      </c>
    </row>
    <row r="28" spans="1:30" hidden="1" x14ac:dyDescent="0.25">
      <c r="A28" s="7">
        <v>21</v>
      </c>
      <c r="B28" s="9"/>
      <c r="C28" s="9">
        <v>6330</v>
      </c>
      <c r="D28" s="9">
        <v>4137</v>
      </c>
      <c r="E28" s="9"/>
      <c r="G28" s="9"/>
      <c r="K28" s="89">
        <f t="shared" si="14"/>
        <v>0</v>
      </c>
      <c r="M28" s="14">
        <f t="shared" si="1"/>
        <v>0</v>
      </c>
      <c r="R28" s="89">
        <f t="shared" si="15"/>
        <v>0</v>
      </c>
      <c r="T28" s="14">
        <f t="shared" si="3"/>
        <v>0</v>
      </c>
      <c r="V28" s="89">
        <f t="shared" si="16"/>
        <v>0</v>
      </c>
      <c r="X28" s="14">
        <f t="shared" si="5"/>
        <v>0</v>
      </c>
      <c r="AB28" s="89">
        <f t="shared" si="17"/>
        <v>0</v>
      </c>
      <c r="AD28" s="14">
        <f t="shared" si="7"/>
        <v>0</v>
      </c>
    </row>
    <row r="29" spans="1:30" x14ac:dyDescent="0.25">
      <c r="A29" s="7">
        <v>22</v>
      </c>
      <c r="B29" s="9"/>
      <c r="C29" s="9">
        <v>6330</v>
      </c>
      <c r="D29" s="9">
        <v>4137</v>
      </c>
      <c r="E29" s="9"/>
      <c r="F29" s="9" t="s">
        <v>347</v>
      </c>
      <c r="G29" s="9"/>
      <c r="K29" s="89">
        <f t="shared" si="14"/>
        <v>0</v>
      </c>
      <c r="M29" s="14">
        <f t="shared" si="1"/>
        <v>0</v>
      </c>
      <c r="Q29" s="88">
        <v>3500</v>
      </c>
      <c r="R29" s="89">
        <f t="shared" si="15"/>
        <v>3500</v>
      </c>
      <c r="T29" s="14">
        <f t="shared" si="3"/>
        <v>0</v>
      </c>
      <c r="V29" s="89">
        <f t="shared" si="16"/>
        <v>3500</v>
      </c>
      <c r="W29" s="90">
        <v>3538</v>
      </c>
      <c r="X29" s="14">
        <f t="shared" si="5"/>
        <v>1.0108571428571429</v>
      </c>
      <c r="AB29" s="89">
        <f t="shared" si="17"/>
        <v>3500</v>
      </c>
      <c r="AC29" s="90">
        <v>3538</v>
      </c>
      <c r="AD29" s="14">
        <f t="shared" si="7"/>
        <v>1.0108571428571429</v>
      </c>
    </row>
    <row r="30" spans="1:30" x14ac:dyDescent="0.25">
      <c r="A30" s="7">
        <v>23</v>
      </c>
      <c r="B30" s="9"/>
      <c r="C30" s="9">
        <v>6330</v>
      </c>
      <c r="D30" s="9">
        <v>4137</v>
      </c>
      <c r="E30" s="9"/>
      <c r="F30" s="9" t="s">
        <v>21</v>
      </c>
      <c r="G30" s="9"/>
      <c r="K30" s="89">
        <f t="shared" si="14"/>
        <v>0</v>
      </c>
      <c r="M30" s="14">
        <f t="shared" si="1"/>
        <v>0</v>
      </c>
      <c r="Q30" s="88">
        <v>1747800</v>
      </c>
      <c r="R30" s="89">
        <f t="shared" si="15"/>
        <v>1747800</v>
      </c>
      <c r="T30" s="14">
        <f t="shared" si="3"/>
        <v>0</v>
      </c>
      <c r="V30" s="89">
        <f t="shared" si="16"/>
        <v>1747800</v>
      </c>
      <c r="W30" s="90">
        <v>1747771.49</v>
      </c>
      <c r="X30" s="14">
        <f t="shared" si="5"/>
        <v>0.99998368806499593</v>
      </c>
      <c r="AB30" s="89">
        <f t="shared" si="17"/>
        <v>1747800</v>
      </c>
      <c r="AC30" s="90">
        <v>1747771.49</v>
      </c>
      <c r="AD30" s="14">
        <f t="shared" si="7"/>
        <v>0.99998368806499593</v>
      </c>
    </row>
    <row r="31" spans="1:30" x14ac:dyDescent="0.25">
      <c r="A31" s="7">
        <v>24</v>
      </c>
      <c r="B31" s="9"/>
      <c r="C31" s="9"/>
      <c r="D31" s="9">
        <v>8115</v>
      </c>
      <c r="E31" s="9"/>
      <c r="F31" s="9"/>
      <c r="G31" s="9"/>
      <c r="M31" s="14"/>
      <c r="T31" s="14">
        <f t="shared" si="3"/>
        <v>0</v>
      </c>
      <c r="V31" s="89">
        <f t="shared" si="16"/>
        <v>0</v>
      </c>
      <c r="X31" s="14">
        <f t="shared" si="5"/>
        <v>0</v>
      </c>
      <c r="AB31" s="89">
        <f t="shared" si="17"/>
        <v>0</v>
      </c>
      <c r="AD31" s="14">
        <f t="shared" si="7"/>
        <v>0</v>
      </c>
    </row>
    <row r="32" spans="1:30" ht="13.95" customHeight="1" x14ac:dyDescent="0.25">
      <c r="A32" s="7">
        <v>25</v>
      </c>
      <c r="B32" s="9"/>
      <c r="C32" s="9"/>
      <c r="D32" s="9">
        <v>8115</v>
      </c>
      <c r="E32" s="9"/>
      <c r="F32" s="9" t="s">
        <v>22</v>
      </c>
      <c r="G32" s="9"/>
      <c r="K32" s="89">
        <f t="shared" si="14"/>
        <v>0</v>
      </c>
      <c r="M32" s="14">
        <f t="shared" si="1"/>
        <v>0</v>
      </c>
      <c r="N32" s="88">
        <v>233700</v>
      </c>
      <c r="R32" s="89">
        <f t="shared" si="15"/>
        <v>233700</v>
      </c>
      <c r="T32" s="14">
        <f t="shared" si="3"/>
        <v>0</v>
      </c>
      <c r="V32" s="89">
        <f t="shared" si="16"/>
        <v>233700</v>
      </c>
      <c r="X32" s="14">
        <f t="shared" si="5"/>
        <v>0</v>
      </c>
      <c r="AB32" s="89">
        <f t="shared" si="17"/>
        <v>233700</v>
      </c>
      <c r="AD32" s="14">
        <f t="shared" si="7"/>
        <v>0</v>
      </c>
    </row>
    <row r="33" spans="1:30" ht="13.95" customHeight="1" x14ac:dyDescent="0.25">
      <c r="A33" s="7">
        <v>26</v>
      </c>
      <c r="B33" s="9"/>
      <c r="C33" s="9"/>
      <c r="D33" s="9">
        <v>8115</v>
      </c>
      <c r="E33" s="9"/>
      <c r="F33" s="9" t="s">
        <v>334</v>
      </c>
      <c r="G33" s="9"/>
      <c r="I33" s="88">
        <v>27000</v>
      </c>
      <c r="K33" s="89">
        <f t="shared" si="14"/>
        <v>27000</v>
      </c>
      <c r="M33" s="14"/>
      <c r="R33" s="89">
        <f t="shared" si="15"/>
        <v>27000</v>
      </c>
      <c r="T33" s="14">
        <f t="shared" si="3"/>
        <v>0</v>
      </c>
      <c r="V33" s="89">
        <f t="shared" si="16"/>
        <v>27000</v>
      </c>
      <c r="X33" s="14">
        <f t="shared" si="5"/>
        <v>0</v>
      </c>
      <c r="AB33" s="89">
        <f t="shared" si="17"/>
        <v>27000</v>
      </c>
      <c r="AD33" s="14">
        <f t="shared" si="7"/>
        <v>0</v>
      </c>
    </row>
    <row r="34" spans="1:30" ht="13.95" customHeight="1" x14ac:dyDescent="0.25">
      <c r="A34" s="7">
        <v>27</v>
      </c>
      <c r="B34" s="9"/>
      <c r="C34" s="9"/>
      <c r="D34" s="9">
        <v>8115</v>
      </c>
      <c r="E34" s="9"/>
      <c r="F34" s="9" t="s">
        <v>23</v>
      </c>
      <c r="G34" s="9"/>
      <c r="K34" s="89">
        <f t="shared" si="14"/>
        <v>0</v>
      </c>
      <c r="M34" s="14">
        <f t="shared" si="1"/>
        <v>0</v>
      </c>
      <c r="N34" s="88">
        <v>452400</v>
      </c>
      <c r="R34" s="89">
        <f t="shared" si="15"/>
        <v>452400</v>
      </c>
      <c r="T34" s="14">
        <f t="shared" si="3"/>
        <v>0</v>
      </c>
      <c r="V34" s="89">
        <f t="shared" si="16"/>
        <v>452400</v>
      </c>
      <c r="X34" s="14">
        <f t="shared" si="5"/>
        <v>0</v>
      </c>
      <c r="AB34" s="89">
        <f t="shared" si="17"/>
        <v>452400</v>
      </c>
      <c r="AD34" s="14">
        <f t="shared" si="7"/>
        <v>0</v>
      </c>
    </row>
    <row r="35" spans="1:30" ht="24" customHeight="1" x14ac:dyDescent="0.25">
      <c r="A35" s="7">
        <v>28</v>
      </c>
      <c r="B35" s="9"/>
      <c r="C35" s="9"/>
      <c r="D35" s="9">
        <v>8115</v>
      </c>
      <c r="E35" s="9"/>
      <c r="F35" s="86" t="s">
        <v>316</v>
      </c>
      <c r="G35" s="9"/>
      <c r="K35" s="89">
        <f t="shared" si="14"/>
        <v>0</v>
      </c>
      <c r="M35" s="14">
        <f t="shared" si="1"/>
        <v>0</v>
      </c>
      <c r="N35" s="88">
        <v>792900</v>
      </c>
      <c r="R35" s="89">
        <f t="shared" si="15"/>
        <v>792900</v>
      </c>
      <c r="T35" s="14">
        <f t="shared" si="3"/>
        <v>0</v>
      </c>
      <c r="V35" s="89">
        <f t="shared" si="16"/>
        <v>792900</v>
      </c>
      <c r="X35" s="14">
        <f t="shared" si="5"/>
        <v>0</v>
      </c>
      <c r="AB35" s="89">
        <f t="shared" si="17"/>
        <v>792900</v>
      </c>
      <c r="AD35" s="14">
        <f t="shared" si="7"/>
        <v>0</v>
      </c>
    </row>
    <row r="36" spans="1:30" ht="13.95" customHeight="1" x14ac:dyDescent="0.25">
      <c r="A36" s="7">
        <v>29</v>
      </c>
      <c r="B36" s="9"/>
      <c r="C36" s="19" t="s">
        <v>24</v>
      </c>
      <c r="D36" s="9"/>
      <c r="E36" s="9"/>
      <c r="F36" s="9"/>
      <c r="G36" s="9"/>
      <c r="H36" s="66">
        <f>SUM(H14:H35)</f>
        <v>41087000</v>
      </c>
      <c r="I36" s="55">
        <f>SUM(I14:I35)</f>
        <v>27000</v>
      </c>
      <c r="J36" s="55">
        <f>SUM(J14:J35)</f>
        <v>86300</v>
      </c>
      <c r="K36" s="50">
        <f>SUM(K14:K35)</f>
        <v>41200300</v>
      </c>
      <c r="L36" s="102">
        <f>SUM(L14:L35)</f>
        <v>6102300</v>
      </c>
      <c r="M36" s="14">
        <f t="shared" si="1"/>
        <v>0.14811299917719045</v>
      </c>
      <c r="N36" s="55">
        <f t="shared" ref="N36:S36" si="19">SUM(N14:N35)</f>
        <v>1479000</v>
      </c>
      <c r="O36" s="55">
        <f t="shared" si="19"/>
        <v>1648000</v>
      </c>
      <c r="P36" s="55">
        <f t="shared" si="19"/>
        <v>1740100</v>
      </c>
      <c r="Q36" s="55">
        <f t="shared" si="19"/>
        <v>2379300</v>
      </c>
      <c r="R36" s="50">
        <f t="shared" si="19"/>
        <v>48446700</v>
      </c>
      <c r="S36" s="102">
        <f t="shared" si="19"/>
        <v>19904403.469999999</v>
      </c>
      <c r="T36" s="14">
        <f t="shared" si="3"/>
        <v>0.41085158473126132</v>
      </c>
      <c r="U36" s="55">
        <f t="shared" ref="U36" si="20">SUM(U14:U35)</f>
        <v>4217900</v>
      </c>
      <c r="V36" s="50">
        <f t="shared" ref="V36" si="21">SUM(V14:V35)</f>
        <v>52664600</v>
      </c>
      <c r="W36" s="102">
        <f t="shared" ref="W36" si="22">SUM(W14:W35)</f>
        <v>37893928.619999997</v>
      </c>
      <c r="X36" s="14">
        <f t="shared" si="5"/>
        <v>0.71953320864489612</v>
      </c>
      <c r="Y36" s="55">
        <f t="shared" ref="Y36:AC36" si="23">SUM(Y14:Y35)</f>
        <v>0</v>
      </c>
      <c r="Z36" s="55">
        <f t="shared" si="23"/>
        <v>0</v>
      </c>
      <c r="AA36" s="55">
        <f t="shared" si="23"/>
        <v>282600</v>
      </c>
      <c r="AB36" s="50">
        <f t="shared" si="23"/>
        <v>52947200</v>
      </c>
      <c r="AC36" s="102">
        <f t="shared" si="23"/>
        <v>51814901.090000004</v>
      </c>
      <c r="AD36" s="14">
        <f t="shared" si="7"/>
        <v>0.97861456488728404</v>
      </c>
    </row>
    <row r="37" spans="1:30" ht="13.8" thickBot="1" x14ac:dyDescent="0.3">
      <c r="A37" s="7">
        <v>30</v>
      </c>
      <c r="B37" s="9"/>
      <c r="C37" s="16" t="s">
        <v>25</v>
      </c>
      <c r="D37" s="16"/>
      <c r="E37" s="16"/>
      <c r="F37" s="17"/>
      <c r="G37" s="17"/>
      <c r="H37" s="65">
        <f>SUM(H14:H35)-H32-H34-H35</f>
        <v>41087000</v>
      </c>
      <c r="I37" s="78">
        <f>SUM(I14:I35)-I32-I34-I35-I33</f>
        <v>0</v>
      </c>
      <c r="J37" s="78">
        <f>SUM(J14:J35)-J32-J34-J35</f>
        <v>86300</v>
      </c>
      <c r="K37" s="18">
        <f>SUM(K14:K35)-K32-K34-K35-K33</f>
        <v>41173300</v>
      </c>
      <c r="L37" s="101">
        <f>SUM(L14:L35)-L32-L34-L35</f>
        <v>6102300</v>
      </c>
      <c r="M37" s="14">
        <f t="shared" si="1"/>
        <v>0.14821012646545212</v>
      </c>
      <c r="N37" s="78">
        <f>SUM(N14:N35)-N32-N34-N35-N33</f>
        <v>0</v>
      </c>
      <c r="O37" s="78">
        <f>SUM(O14:O35)-O32-O34-O35</f>
        <v>1648000</v>
      </c>
      <c r="P37" s="78">
        <f>SUM(P14:P35)-P32-P34-P35-P33</f>
        <v>1740100</v>
      </c>
      <c r="Q37" s="78">
        <f>SUM(Q14:Q35)-Q32-Q34-Q35</f>
        <v>2379300</v>
      </c>
      <c r="R37" s="18">
        <f>SUM(R14:R35)-R32-R34-R35-R33</f>
        <v>46940700</v>
      </c>
      <c r="S37" s="101">
        <f>SUM(S14:S35)-S32-S34-S35</f>
        <v>19904403.469999999</v>
      </c>
      <c r="T37" s="112">
        <f t="shared" si="3"/>
        <v>0.42403294944472492</v>
      </c>
      <c r="U37" s="78">
        <f>SUM(U14:U35)-U32-U34-U35</f>
        <v>4217900</v>
      </c>
      <c r="V37" s="18">
        <f>SUM(V14:V35)-V32-V34-V35-V33</f>
        <v>51158600</v>
      </c>
      <c r="W37" s="101">
        <f>SUM(W14:W35)-W32-W34-W35</f>
        <v>37893928.619999997</v>
      </c>
      <c r="X37" s="112">
        <f t="shared" si="5"/>
        <v>0.74071473066112048</v>
      </c>
      <c r="Y37" s="78">
        <f>SUM(Y14:Y35)-Y32-Y34-Y35</f>
        <v>0</v>
      </c>
      <c r="Z37" s="78">
        <f>SUM(Z14:Z35)-Z32-Z34-Z35</f>
        <v>0</v>
      </c>
      <c r="AA37" s="78">
        <f>SUM(AA14:AA35)-AA32-AA34-AA35</f>
        <v>282600</v>
      </c>
      <c r="AB37" s="18">
        <f>SUM(AB14:AB35)-AB32-AB34-AB35-AB33</f>
        <v>51441200</v>
      </c>
      <c r="AC37" s="101">
        <f>SUM(AC14:AC35)-AC32-AC34-AC35</f>
        <v>51814901.090000004</v>
      </c>
      <c r="AD37" s="112">
        <f t="shared" si="7"/>
        <v>1.0072646262140075</v>
      </c>
    </row>
    <row r="38" spans="1:30" ht="13.8" thickTop="1" x14ac:dyDescent="0.25">
      <c r="A38" s="7">
        <v>31</v>
      </c>
      <c r="B38" s="9"/>
      <c r="C38" s="9"/>
      <c r="D38" s="9"/>
      <c r="E38" s="9"/>
      <c r="F38" s="13"/>
      <c r="G38" s="13"/>
      <c r="M38" s="14">
        <f t="shared" si="1"/>
        <v>0</v>
      </c>
      <c r="T38" s="14">
        <f t="shared" si="3"/>
        <v>0</v>
      </c>
      <c r="X38" s="14">
        <f t="shared" si="5"/>
        <v>0</v>
      </c>
      <c r="AD38" s="14">
        <f t="shared" si="7"/>
        <v>0</v>
      </c>
    </row>
    <row r="39" spans="1:30" x14ac:dyDescent="0.25">
      <c r="A39" s="7">
        <v>32</v>
      </c>
      <c r="B39" s="9" t="s">
        <v>26</v>
      </c>
      <c r="C39" s="9"/>
      <c r="D39" s="9"/>
      <c r="E39" s="9"/>
      <c r="F39" s="13"/>
      <c r="G39" s="13"/>
      <c r="M39" s="14">
        <f t="shared" si="1"/>
        <v>0</v>
      </c>
      <c r="T39" s="14">
        <f t="shared" si="3"/>
        <v>0</v>
      </c>
      <c r="X39" s="14">
        <f t="shared" si="5"/>
        <v>0</v>
      </c>
      <c r="AD39" s="14">
        <f t="shared" si="7"/>
        <v>0</v>
      </c>
    </row>
    <row r="40" spans="1:30" x14ac:dyDescent="0.25">
      <c r="A40" s="7">
        <v>33</v>
      </c>
      <c r="B40" s="9"/>
      <c r="C40" s="9">
        <v>6330</v>
      </c>
      <c r="D40" s="9">
        <v>4251</v>
      </c>
      <c r="E40" s="9"/>
      <c r="F40" s="13" t="s">
        <v>317</v>
      </c>
      <c r="G40" s="13"/>
      <c r="K40" s="89">
        <f t="shared" ref="K40:K46" si="24">H40+I40+J40</f>
        <v>0</v>
      </c>
      <c r="M40" s="14">
        <f t="shared" si="1"/>
        <v>0</v>
      </c>
      <c r="N40" s="88">
        <v>6000000</v>
      </c>
      <c r="R40" s="89">
        <f t="shared" ref="R40:R47" si="25">H40+I40+J40+N40+O40+P40+Q40</f>
        <v>6000000</v>
      </c>
      <c r="S40" s="90">
        <v>6000000</v>
      </c>
      <c r="T40" s="14">
        <f t="shared" si="3"/>
        <v>1</v>
      </c>
      <c r="V40" s="89">
        <f t="shared" ref="V40:V47" si="26">H40+I40+J40+N40+O40+P40+Q40+U40</f>
        <v>6000000</v>
      </c>
      <c r="W40" s="90">
        <v>6000000</v>
      </c>
      <c r="X40" s="14">
        <f t="shared" si="5"/>
        <v>1</v>
      </c>
      <c r="AB40" s="89">
        <f t="shared" ref="AB40:AB47" si="27">H40+I40+J40+N40+O40+P40+Q40+U40+Y40+Z40+AA40</f>
        <v>6000000</v>
      </c>
      <c r="AC40" s="90">
        <v>6000000</v>
      </c>
      <c r="AD40" s="14">
        <f t="shared" si="7"/>
        <v>1</v>
      </c>
    </row>
    <row r="41" spans="1:30" x14ac:dyDescent="0.25">
      <c r="A41" s="7">
        <v>34</v>
      </c>
      <c r="B41" s="9"/>
      <c r="C41" s="9">
        <v>6330</v>
      </c>
      <c r="D41" s="9">
        <v>4251</v>
      </c>
      <c r="E41" s="9"/>
      <c r="F41" s="13" t="s">
        <v>366</v>
      </c>
      <c r="G41" s="13"/>
      <c r="K41" s="89">
        <f t="shared" si="24"/>
        <v>0</v>
      </c>
      <c r="M41" s="14">
        <f t="shared" si="1"/>
        <v>0</v>
      </c>
      <c r="R41" s="89">
        <f t="shared" si="25"/>
        <v>0</v>
      </c>
      <c r="T41" s="14">
        <f t="shared" si="3"/>
        <v>0</v>
      </c>
      <c r="V41" s="89">
        <f t="shared" si="26"/>
        <v>0</v>
      </c>
      <c r="X41" s="14">
        <f t="shared" si="5"/>
        <v>0</v>
      </c>
      <c r="Y41" s="88">
        <v>9000000</v>
      </c>
      <c r="AB41" s="89">
        <f t="shared" si="27"/>
        <v>9000000</v>
      </c>
      <c r="AC41" s="90">
        <v>9000000</v>
      </c>
      <c r="AD41" s="14">
        <f t="shared" si="7"/>
        <v>1</v>
      </c>
    </row>
    <row r="42" spans="1:30" ht="26.4" x14ac:dyDescent="0.25">
      <c r="A42" s="7">
        <v>35</v>
      </c>
      <c r="B42" s="9"/>
      <c r="C42" s="9">
        <v>8115</v>
      </c>
      <c r="D42" s="9"/>
      <c r="E42" s="9"/>
      <c r="F42" s="21" t="s">
        <v>27</v>
      </c>
      <c r="G42" s="13"/>
      <c r="K42" s="89">
        <f t="shared" si="24"/>
        <v>0</v>
      </c>
      <c r="M42" s="14">
        <f t="shared" si="1"/>
        <v>0</v>
      </c>
      <c r="N42" s="88">
        <v>1915500</v>
      </c>
      <c r="R42" s="89">
        <f t="shared" si="25"/>
        <v>1915500</v>
      </c>
      <c r="T42" s="14">
        <f t="shared" si="3"/>
        <v>0</v>
      </c>
      <c r="V42" s="89">
        <f t="shared" si="26"/>
        <v>1915500</v>
      </c>
      <c r="X42" s="14">
        <f t="shared" si="5"/>
        <v>0</v>
      </c>
      <c r="AB42" s="89">
        <f t="shared" si="27"/>
        <v>1915500</v>
      </c>
      <c r="AD42" s="14">
        <f t="shared" si="7"/>
        <v>0</v>
      </c>
    </row>
    <row r="43" spans="1:30" x14ac:dyDescent="0.25">
      <c r="A43" s="7">
        <v>36</v>
      </c>
      <c r="B43" s="9"/>
      <c r="C43" s="9">
        <v>8115</v>
      </c>
      <c r="D43" s="9"/>
      <c r="E43" s="9"/>
      <c r="F43" s="13" t="s">
        <v>318</v>
      </c>
      <c r="G43" s="13"/>
      <c r="K43" s="89">
        <f t="shared" si="24"/>
        <v>0</v>
      </c>
      <c r="M43" s="14">
        <f t="shared" si="1"/>
        <v>0</v>
      </c>
      <c r="N43" s="88">
        <v>13013900</v>
      </c>
      <c r="R43" s="89">
        <f t="shared" si="25"/>
        <v>13013900</v>
      </c>
      <c r="T43" s="14">
        <f t="shared" si="3"/>
        <v>0</v>
      </c>
      <c r="V43" s="89">
        <f t="shared" si="26"/>
        <v>13013900</v>
      </c>
      <c r="X43" s="14">
        <f t="shared" si="5"/>
        <v>0</v>
      </c>
      <c r="AB43" s="89">
        <f t="shared" si="27"/>
        <v>13013900</v>
      </c>
      <c r="AD43" s="14">
        <f t="shared" si="7"/>
        <v>0</v>
      </c>
    </row>
    <row r="44" spans="1:30" ht="26.4" x14ac:dyDescent="0.25">
      <c r="A44" s="7">
        <v>37</v>
      </c>
      <c r="B44" s="9"/>
      <c r="C44" s="9">
        <v>8115</v>
      </c>
      <c r="D44" s="9"/>
      <c r="E44" s="9"/>
      <c r="F44" s="21" t="s">
        <v>319</v>
      </c>
      <c r="G44" s="21"/>
      <c r="K44" s="89">
        <f t="shared" si="24"/>
        <v>0</v>
      </c>
      <c r="M44" s="14">
        <f t="shared" si="1"/>
        <v>0</v>
      </c>
      <c r="N44" s="88">
        <v>866800</v>
      </c>
      <c r="R44" s="89">
        <f t="shared" si="25"/>
        <v>866800</v>
      </c>
      <c r="T44" s="14">
        <f t="shared" si="3"/>
        <v>0</v>
      </c>
      <c r="V44" s="89">
        <f t="shared" si="26"/>
        <v>866800</v>
      </c>
      <c r="X44" s="14">
        <f t="shared" si="5"/>
        <v>0</v>
      </c>
      <c r="AB44" s="89">
        <f t="shared" si="27"/>
        <v>866800</v>
      </c>
      <c r="AD44" s="14">
        <f t="shared" si="7"/>
        <v>0</v>
      </c>
    </row>
    <row r="45" spans="1:30" ht="26.4" x14ac:dyDescent="0.25">
      <c r="A45" s="7">
        <v>38</v>
      </c>
      <c r="B45" s="9"/>
      <c r="C45" s="9">
        <v>8115</v>
      </c>
      <c r="D45" s="9"/>
      <c r="E45" s="9"/>
      <c r="F45" s="21" t="s">
        <v>320</v>
      </c>
      <c r="G45" s="21"/>
      <c r="K45" s="89">
        <f t="shared" si="24"/>
        <v>0</v>
      </c>
      <c r="M45" s="14">
        <f t="shared" si="1"/>
        <v>0</v>
      </c>
      <c r="N45" s="88">
        <v>700000</v>
      </c>
      <c r="R45" s="89">
        <f t="shared" si="25"/>
        <v>700000</v>
      </c>
      <c r="T45" s="14">
        <f t="shared" si="3"/>
        <v>0</v>
      </c>
      <c r="V45" s="89">
        <f t="shared" si="26"/>
        <v>700000</v>
      </c>
      <c r="X45" s="14">
        <f t="shared" si="5"/>
        <v>0</v>
      </c>
      <c r="AB45" s="89">
        <f t="shared" si="27"/>
        <v>700000</v>
      </c>
      <c r="AD45" s="14">
        <f t="shared" si="7"/>
        <v>0</v>
      </c>
    </row>
    <row r="46" spans="1:30" ht="26.4" x14ac:dyDescent="0.25">
      <c r="A46" s="7">
        <v>39</v>
      </c>
      <c r="B46" s="9"/>
      <c r="C46" s="9">
        <v>8115</v>
      </c>
      <c r="D46" s="9"/>
      <c r="E46" s="9"/>
      <c r="F46" s="21" t="s">
        <v>348</v>
      </c>
      <c r="G46" s="21"/>
      <c r="K46" s="89">
        <f t="shared" si="24"/>
        <v>0</v>
      </c>
      <c r="M46" s="14">
        <f t="shared" si="1"/>
        <v>0</v>
      </c>
      <c r="Q46" s="88">
        <v>1283700</v>
      </c>
      <c r="R46" s="89">
        <f t="shared" si="25"/>
        <v>1283700</v>
      </c>
      <c r="T46" s="14">
        <f t="shared" si="3"/>
        <v>0</v>
      </c>
      <c r="V46" s="89">
        <f t="shared" si="26"/>
        <v>1283700</v>
      </c>
      <c r="X46" s="14">
        <f t="shared" si="5"/>
        <v>0</v>
      </c>
      <c r="AB46" s="89">
        <f t="shared" si="27"/>
        <v>1283700</v>
      </c>
      <c r="AD46" s="14">
        <f t="shared" si="7"/>
        <v>0</v>
      </c>
    </row>
    <row r="47" spans="1:30" x14ac:dyDescent="0.25">
      <c r="A47" s="7">
        <v>40</v>
      </c>
      <c r="B47" s="9"/>
      <c r="C47" s="9"/>
      <c r="D47" s="9"/>
      <c r="E47" s="9"/>
      <c r="F47" s="9"/>
      <c r="G47" s="9"/>
      <c r="M47" s="14">
        <f t="shared" si="1"/>
        <v>0</v>
      </c>
      <c r="R47" s="89">
        <f t="shared" si="25"/>
        <v>0</v>
      </c>
      <c r="T47" s="14">
        <f t="shared" si="3"/>
        <v>0</v>
      </c>
      <c r="V47" s="89">
        <f t="shared" si="26"/>
        <v>0</v>
      </c>
      <c r="X47" s="14">
        <f t="shared" si="5"/>
        <v>0</v>
      </c>
      <c r="AB47" s="89">
        <f t="shared" si="27"/>
        <v>0</v>
      </c>
      <c r="AD47" s="14">
        <f t="shared" si="7"/>
        <v>0</v>
      </c>
    </row>
    <row r="48" spans="1:30" s="23" customFormat="1" x14ac:dyDescent="0.25">
      <c r="A48" s="7">
        <v>41</v>
      </c>
      <c r="B48" s="19"/>
      <c r="C48" s="19" t="s">
        <v>28</v>
      </c>
      <c r="D48" s="19"/>
      <c r="E48" s="19"/>
      <c r="F48" s="19"/>
      <c r="G48" s="19"/>
      <c r="H48" s="66">
        <f>SUM(H40:H47)</f>
        <v>0</v>
      </c>
      <c r="I48" s="55">
        <f>SUM(I40:I47)</f>
        <v>0</v>
      </c>
      <c r="J48" s="55">
        <f>SUM(J40:J47)</f>
        <v>0</v>
      </c>
      <c r="K48" s="50">
        <f>SUM(K40:K47)</f>
        <v>0</v>
      </c>
      <c r="L48" s="102">
        <f>SUM(L40:L47)</f>
        <v>0</v>
      </c>
      <c r="M48" s="14">
        <f t="shared" si="1"/>
        <v>0</v>
      </c>
      <c r="N48" s="55">
        <f t="shared" ref="N48:S48" si="28">SUM(N40:N47)</f>
        <v>22496200</v>
      </c>
      <c r="O48" s="55">
        <f t="shared" si="28"/>
        <v>0</v>
      </c>
      <c r="P48" s="55">
        <f t="shared" si="28"/>
        <v>0</v>
      </c>
      <c r="Q48" s="55">
        <f t="shared" si="28"/>
        <v>1283700</v>
      </c>
      <c r="R48" s="50">
        <f t="shared" si="28"/>
        <v>23779900</v>
      </c>
      <c r="S48" s="102">
        <f t="shared" si="28"/>
        <v>6000000</v>
      </c>
      <c r="T48" s="14">
        <f t="shared" si="3"/>
        <v>0.25231392899044991</v>
      </c>
      <c r="U48" s="55">
        <f t="shared" ref="U48" si="29">SUM(U40:U47)</f>
        <v>0</v>
      </c>
      <c r="V48" s="50">
        <f t="shared" ref="V48" si="30">SUM(V40:V47)</f>
        <v>23779900</v>
      </c>
      <c r="W48" s="102">
        <f t="shared" ref="W48" si="31">SUM(W40:W47)</f>
        <v>6000000</v>
      </c>
      <c r="X48" s="14">
        <f t="shared" si="5"/>
        <v>0.25231392899044991</v>
      </c>
      <c r="Y48" s="55">
        <f t="shared" ref="Y48:AC48" si="32">SUM(Y40:Y47)</f>
        <v>9000000</v>
      </c>
      <c r="Z48" s="55">
        <f t="shared" si="32"/>
        <v>0</v>
      </c>
      <c r="AA48" s="55">
        <f t="shared" si="32"/>
        <v>0</v>
      </c>
      <c r="AB48" s="50">
        <f t="shared" si="32"/>
        <v>32779900</v>
      </c>
      <c r="AC48" s="102">
        <f t="shared" si="32"/>
        <v>15000000</v>
      </c>
      <c r="AD48" s="14">
        <f t="shared" si="7"/>
        <v>0.45759749114548853</v>
      </c>
    </row>
    <row r="49" spans="1:30" ht="13.8" thickBot="1" x14ac:dyDescent="0.3">
      <c r="A49" s="7">
        <v>42</v>
      </c>
      <c r="B49" s="9"/>
      <c r="C49" s="16" t="s">
        <v>29</v>
      </c>
      <c r="D49" s="16"/>
      <c r="E49" s="16"/>
      <c r="F49" s="17"/>
      <c r="G49" s="17"/>
      <c r="H49" s="67">
        <f>SUM(H40:H47)-H45-H44-H43-H46</f>
        <v>0</v>
      </c>
      <c r="I49" s="79">
        <f>SUM(I40:I47)-I45-I44-I43-I46</f>
        <v>0</v>
      </c>
      <c r="J49" s="79">
        <f>SUM(J40:J47)-J45-J44-J43-J46</f>
        <v>0</v>
      </c>
      <c r="K49" s="51">
        <f>SUM(K40:K47)-K45-K44-K43-K46</f>
        <v>0</v>
      </c>
      <c r="L49" s="103">
        <f>SUM(L40:L47)-L45-L44-L43-L46</f>
        <v>0</v>
      </c>
      <c r="M49" s="14">
        <f t="shared" si="1"/>
        <v>0</v>
      </c>
      <c r="N49" s="79">
        <f>SUM(N40:N47)-N45-N44-N43-N46-N42</f>
        <v>6000000</v>
      </c>
      <c r="O49" s="79">
        <f>SUM(O40:O47)-O45-O44-O43-O46</f>
        <v>0</v>
      </c>
      <c r="P49" s="79">
        <f>SUM(P40:P47)-P45-P44-P43-P46</f>
        <v>0</v>
      </c>
      <c r="Q49" s="79">
        <f>SUM(Q40:Q47)-Q45-Q44-Q43-Q46</f>
        <v>0</v>
      </c>
      <c r="R49" s="51">
        <f>SUM(R40:R47)-R45-R44-R43-R46-R42</f>
        <v>6000000</v>
      </c>
      <c r="S49" s="103">
        <f>SUM(S40:S47)-S45-S44-S43-S46</f>
        <v>6000000</v>
      </c>
      <c r="T49" s="112">
        <f t="shared" si="3"/>
        <v>1</v>
      </c>
      <c r="U49" s="79">
        <f>SUM(U40:U47)-U45-U44-U43-U46</f>
        <v>0</v>
      </c>
      <c r="V49" s="51">
        <f>SUM(V40:V47)-V45-V44-V43-V46-V42</f>
        <v>6000000</v>
      </c>
      <c r="W49" s="103">
        <f>SUM(W40:W47)-W45-W44-W43-W46</f>
        <v>6000000</v>
      </c>
      <c r="X49" s="112">
        <f t="shared" si="5"/>
        <v>1</v>
      </c>
      <c r="Y49" s="79">
        <f>SUM(Y40:Y47)-Y45-Y44-Y43-Y46</f>
        <v>9000000</v>
      </c>
      <c r="Z49" s="79">
        <f>SUM(Z40:Z47)-Z45-Z44-Z43-Z46</f>
        <v>0</v>
      </c>
      <c r="AA49" s="79">
        <f>SUM(AA40:AA47)-AA45-AA44-AA43-AA46</f>
        <v>0</v>
      </c>
      <c r="AB49" s="51">
        <f>SUM(AB40:AB47)-AB45-AB44-AB43-AB46-AB42</f>
        <v>15000000</v>
      </c>
      <c r="AC49" s="103">
        <f>SUM(AC40:AC47)-AC45-AC44-AC43-AC46</f>
        <v>15000000</v>
      </c>
      <c r="AD49" s="112">
        <f t="shared" si="7"/>
        <v>1</v>
      </c>
    </row>
    <row r="50" spans="1:30" ht="13.8" thickTop="1" x14ac:dyDescent="0.25">
      <c r="A50" s="7">
        <v>43</v>
      </c>
      <c r="B50" s="24" t="s">
        <v>30</v>
      </c>
      <c r="C50" s="24"/>
      <c r="D50" s="24"/>
      <c r="E50" s="24"/>
      <c r="F50" s="25"/>
      <c r="G50" s="25"/>
      <c r="H50" s="68">
        <f>H49+H37+H11</f>
        <v>41207400</v>
      </c>
      <c r="I50" s="56">
        <f>I49+I37+I11</f>
        <v>92200</v>
      </c>
      <c r="J50" s="56">
        <f>J49+J37+J11</f>
        <v>86300</v>
      </c>
      <c r="K50" s="12">
        <f>K49+K37+K11</f>
        <v>41385900</v>
      </c>
      <c r="L50" s="104">
        <f>L49+L37+L11</f>
        <v>6224500</v>
      </c>
      <c r="M50" s="14">
        <f t="shared" si="1"/>
        <v>0.15040146523332826</v>
      </c>
      <c r="N50" s="56">
        <f t="shared" ref="N50:S50" si="33">N49+N37+N11</f>
        <v>6000000</v>
      </c>
      <c r="O50" s="56">
        <f t="shared" si="33"/>
        <v>1648000</v>
      </c>
      <c r="P50" s="56">
        <f t="shared" si="33"/>
        <v>1740100</v>
      </c>
      <c r="Q50" s="56">
        <f t="shared" si="33"/>
        <v>2379300</v>
      </c>
      <c r="R50" s="12">
        <f t="shared" si="33"/>
        <v>53153300</v>
      </c>
      <c r="S50" s="104">
        <f t="shared" si="33"/>
        <v>26056603.469999999</v>
      </c>
      <c r="T50" s="14">
        <f t="shared" si="3"/>
        <v>0.49021610078772154</v>
      </c>
      <c r="U50" s="56">
        <f t="shared" ref="U50" si="34">U49+U37+U11</f>
        <v>4217900</v>
      </c>
      <c r="V50" s="12">
        <f t="shared" ref="V50" si="35">V49+V37+V11</f>
        <v>57371200</v>
      </c>
      <c r="W50" s="104">
        <f t="shared" ref="W50" si="36">W49+W37+W11</f>
        <v>44076128.619999997</v>
      </c>
      <c r="X50" s="14">
        <f t="shared" si="5"/>
        <v>0.7682622747998995</v>
      </c>
      <c r="Y50" s="56">
        <f t="shared" ref="Y50:AC50" si="37">Y49+Y37+Y11</f>
        <v>9000000</v>
      </c>
      <c r="Z50" s="56">
        <f t="shared" si="37"/>
        <v>7300</v>
      </c>
      <c r="AA50" s="56">
        <f t="shared" si="37"/>
        <v>282600</v>
      </c>
      <c r="AB50" s="12">
        <f t="shared" si="37"/>
        <v>66661100</v>
      </c>
      <c r="AC50" s="104">
        <f t="shared" si="37"/>
        <v>67034801.090000004</v>
      </c>
      <c r="AD50" s="14">
        <f t="shared" si="7"/>
        <v>1.0056059844497016</v>
      </c>
    </row>
    <row r="51" spans="1:30" x14ac:dyDescent="0.25">
      <c r="A51" s="7">
        <v>44</v>
      </c>
      <c r="B51" s="9"/>
      <c r="C51" s="9"/>
      <c r="D51" s="9"/>
      <c r="E51" s="9"/>
      <c r="F51" s="13"/>
      <c r="G51" s="13"/>
      <c r="M51" s="14">
        <f t="shared" si="1"/>
        <v>0</v>
      </c>
      <c r="T51" s="14">
        <f t="shared" si="3"/>
        <v>0</v>
      </c>
      <c r="X51" s="14">
        <f t="shared" si="5"/>
        <v>0</v>
      </c>
      <c r="AD51" s="14">
        <f t="shared" si="7"/>
        <v>0</v>
      </c>
    </row>
    <row r="52" spans="1:30" x14ac:dyDescent="0.25">
      <c r="A52" s="7">
        <v>45</v>
      </c>
      <c r="B52" s="9" t="s">
        <v>31</v>
      </c>
      <c r="C52" s="9"/>
      <c r="D52" s="9"/>
      <c r="E52" s="9"/>
      <c r="F52" s="13"/>
      <c r="G52" s="13"/>
      <c r="M52" s="14">
        <f t="shared" si="1"/>
        <v>0</v>
      </c>
      <c r="T52" s="14">
        <f t="shared" si="3"/>
        <v>0</v>
      </c>
      <c r="X52" s="14">
        <f t="shared" si="5"/>
        <v>0</v>
      </c>
      <c r="AD52" s="14">
        <f t="shared" si="7"/>
        <v>0</v>
      </c>
    </row>
    <row r="53" spans="1:30" x14ac:dyDescent="0.25">
      <c r="A53" s="7">
        <v>46</v>
      </c>
      <c r="B53" s="9"/>
      <c r="C53" s="9"/>
      <c r="D53" s="9">
        <v>1332</v>
      </c>
      <c r="E53" s="9"/>
      <c r="F53" s="13" t="s">
        <v>32</v>
      </c>
      <c r="G53" s="13"/>
      <c r="M53" s="14">
        <f t="shared" si="1"/>
        <v>0</v>
      </c>
      <c r="T53" s="14">
        <f t="shared" si="3"/>
        <v>0</v>
      </c>
      <c r="X53" s="14">
        <f t="shared" si="5"/>
        <v>0</v>
      </c>
      <c r="AD53" s="14">
        <f t="shared" si="7"/>
        <v>0</v>
      </c>
    </row>
    <row r="54" spans="1:30" x14ac:dyDescent="0.25">
      <c r="A54" s="7">
        <v>47</v>
      </c>
      <c r="B54" s="9"/>
      <c r="C54" s="9"/>
      <c r="D54" s="9">
        <v>1341</v>
      </c>
      <c r="E54" s="9"/>
      <c r="F54" s="13" t="s">
        <v>33</v>
      </c>
      <c r="G54" s="13"/>
      <c r="H54" s="87">
        <v>90000</v>
      </c>
      <c r="K54" s="89">
        <f>H54+I54+J54</f>
        <v>90000</v>
      </c>
      <c r="L54" s="90">
        <v>99116</v>
      </c>
      <c r="M54" s="14">
        <f t="shared" si="1"/>
        <v>1.101288888888889</v>
      </c>
      <c r="R54" s="89">
        <f t="shared" ref="R54:R77" si="38">H54+I54+J54+N54+O54+P54+Q54</f>
        <v>90000</v>
      </c>
      <c r="S54" s="90">
        <v>90029</v>
      </c>
      <c r="T54" s="14">
        <f t="shared" si="3"/>
        <v>1.0003222222222221</v>
      </c>
      <c r="V54" s="89">
        <f t="shared" ref="V54:V85" si="39">H54+I54+J54+N54+O54+P54+Q54+U54</f>
        <v>90000</v>
      </c>
      <c r="W54" s="90">
        <v>99556</v>
      </c>
      <c r="X54" s="14">
        <f t="shared" si="5"/>
        <v>1.1061777777777777</v>
      </c>
      <c r="AB54" s="89">
        <f t="shared" ref="AB54:AB85" si="40">H54+I54+J54+N54+O54+P54+Q54+U54+Y54+Z54+AA54</f>
        <v>90000</v>
      </c>
      <c r="AC54" s="90">
        <v>99737.25</v>
      </c>
      <c r="AD54" s="14">
        <f t="shared" si="7"/>
        <v>1.1081916666666667</v>
      </c>
    </row>
    <row r="55" spans="1:30" x14ac:dyDescent="0.25">
      <c r="A55" s="7">
        <v>48</v>
      </c>
      <c r="B55" s="9"/>
      <c r="C55" s="9"/>
      <c r="D55" s="9">
        <v>1349</v>
      </c>
      <c r="E55" s="9"/>
      <c r="F55" s="13" t="s">
        <v>34</v>
      </c>
      <c r="G55" s="13"/>
      <c r="K55" s="89">
        <f t="shared" ref="K55:K85" si="41">H55+I55+J55</f>
        <v>0</v>
      </c>
      <c r="M55" s="14">
        <f t="shared" si="1"/>
        <v>0</v>
      </c>
      <c r="R55" s="89">
        <f t="shared" si="38"/>
        <v>0</v>
      </c>
      <c r="S55" s="90">
        <v>0</v>
      </c>
      <c r="T55" s="14">
        <f t="shared" si="3"/>
        <v>0</v>
      </c>
      <c r="V55" s="89">
        <f t="shared" si="39"/>
        <v>0</v>
      </c>
      <c r="W55" s="90">
        <v>0</v>
      </c>
      <c r="X55" s="14">
        <f t="shared" si="5"/>
        <v>0</v>
      </c>
      <c r="AB55" s="89">
        <f t="shared" si="40"/>
        <v>0</v>
      </c>
      <c r="AC55" s="90">
        <v>0</v>
      </c>
      <c r="AD55" s="14">
        <f t="shared" si="7"/>
        <v>0</v>
      </c>
    </row>
    <row r="56" spans="1:30" x14ac:dyDescent="0.25">
      <c r="A56" s="7">
        <v>49</v>
      </c>
      <c r="B56" s="9"/>
      <c r="C56" s="9"/>
      <c r="D56" s="9">
        <v>1343</v>
      </c>
      <c r="E56" s="9"/>
      <c r="F56" s="13" t="s">
        <v>35</v>
      </c>
      <c r="G56" s="13"/>
      <c r="H56" s="87">
        <v>100000</v>
      </c>
      <c r="K56" s="89">
        <f t="shared" si="41"/>
        <v>100000</v>
      </c>
      <c r="L56" s="90">
        <v>6690</v>
      </c>
      <c r="M56" s="14">
        <f t="shared" si="1"/>
        <v>6.6900000000000001E-2</v>
      </c>
      <c r="R56" s="89">
        <f t="shared" si="38"/>
        <v>100000</v>
      </c>
      <c r="S56" s="90">
        <v>90702</v>
      </c>
      <c r="T56" s="14">
        <f t="shared" si="3"/>
        <v>0.90702000000000005</v>
      </c>
      <c r="V56" s="89">
        <f t="shared" si="39"/>
        <v>100000</v>
      </c>
      <c r="W56" s="90">
        <v>124307</v>
      </c>
      <c r="X56" s="14">
        <f t="shared" si="5"/>
        <v>1.2430699999999999</v>
      </c>
      <c r="AB56" s="89">
        <f t="shared" si="40"/>
        <v>100000</v>
      </c>
      <c r="AC56" s="90">
        <v>159377</v>
      </c>
      <c r="AD56" s="14">
        <f t="shared" si="7"/>
        <v>1.5937699999999999</v>
      </c>
    </row>
    <row r="57" spans="1:30" x14ac:dyDescent="0.25">
      <c r="A57" s="7">
        <v>50</v>
      </c>
      <c r="B57" s="9"/>
      <c r="C57" s="9"/>
      <c r="D57" s="9">
        <v>1342</v>
      </c>
      <c r="E57" s="9"/>
      <c r="F57" s="13" t="s">
        <v>36</v>
      </c>
      <c r="G57" s="13"/>
      <c r="H57" s="87">
        <v>20000</v>
      </c>
      <c r="K57" s="89">
        <f t="shared" si="41"/>
        <v>20000</v>
      </c>
      <c r="L57" s="90">
        <v>11700</v>
      </c>
      <c r="M57" s="14">
        <f t="shared" si="1"/>
        <v>0.58499999999999996</v>
      </c>
      <c r="R57" s="89">
        <f t="shared" si="38"/>
        <v>20000</v>
      </c>
      <c r="S57" s="90">
        <v>31925</v>
      </c>
      <c r="T57" s="14">
        <f t="shared" si="3"/>
        <v>1.5962499999999999</v>
      </c>
      <c r="V57" s="89">
        <f t="shared" si="39"/>
        <v>20000</v>
      </c>
      <c r="W57" s="90">
        <v>53437.5</v>
      </c>
      <c r="X57" s="14">
        <f t="shared" si="5"/>
        <v>2.671875</v>
      </c>
      <c r="AB57" s="89">
        <f t="shared" si="40"/>
        <v>20000</v>
      </c>
      <c r="AC57" s="90">
        <v>64537.5</v>
      </c>
      <c r="AD57" s="14">
        <f t="shared" si="7"/>
        <v>3.2268750000000002</v>
      </c>
    </row>
    <row r="58" spans="1:30" x14ac:dyDescent="0.25">
      <c r="A58" s="7">
        <v>51</v>
      </c>
      <c r="B58" s="9"/>
      <c r="C58" s="9"/>
      <c r="D58" s="9">
        <v>1361</v>
      </c>
      <c r="E58" s="9"/>
      <c r="F58" s="13" t="s">
        <v>37</v>
      </c>
      <c r="G58" s="13"/>
      <c r="H58" s="87">
        <v>35000</v>
      </c>
      <c r="K58" s="89">
        <f t="shared" si="41"/>
        <v>35000</v>
      </c>
      <c r="L58" s="90">
        <v>5980</v>
      </c>
      <c r="M58" s="14">
        <f t="shared" si="1"/>
        <v>0.17085714285714285</v>
      </c>
      <c r="R58" s="89">
        <f t="shared" si="38"/>
        <v>35000</v>
      </c>
      <c r="S58" s="90">
        <v>16710</v>
      </c>
      <c r="T58" s="14">
        <f t="shared" si="3"/>
        <v>0.47742857142857142</v>
      </c>
      <c r="V58" s="89">
        <f t="shared" si="39"/>
        <v>35000</v>
      </c>
      <c r="W58" s="90">
        <v>24330</v>
      </c>
      <c r="X58" s="14">
        <f t="shared" si="5"/>
        <v>0.69514285714285717</v>
      </c>
      <c r="AB58" s="89">
        <f t="shared" si="40"/>
        <v>35000</v>
      </c>
      <c r="AC58" s="90">
        <v>32170</v>
      </c>
      <c r="AD58" s="14">
        <f t="shared" si="7"/>
        <v>0.91914285714285715</v>
      </c>
    </row>
    <row r="59" spans="1:30" x14ac:dyDescent="0.25">
      <c r="A59" s="7">
        <v>52</v>
      </c>
      <c r="B59" s="9"/>
      <c r="C59" s="9"/>
      <c r="D59" s="9">
        <v>2460</v>
      </c>
      <c r="E59" s="9"/>
      <c r="F59" s="13" t="s">
        <v>38</v>
      </c>
      <c r="G59" s="13"/>
      <c r="H59" s="87">
        <v>14000</v>
      </c>
      <c r="K59" s="89">
        <f t="shared" si="41"/>
        <v>14000</v>
      </c>
      <c r="L59" s="90">
        <v>6400</v>
      </c>
      <c r="M59" s="14">
        <f t="shared" si="1"/>
        <v>0.45714285714285713</v>
      </c>
      <c r="R59" s="89">
        <f t="shared" si="38"/>
        <v>14000</v>
      </c>
      <c r="S59" s="90">
        <v>16000</v>
      </c>
      <c r="T59" s="14">
        <f t="shared" si="3"/>
        <v>1.1428571428571428</v>
      </c>
      <c r="V59" s="89">
        <f t="shared" si="39"/>
        <v>14000</v>
      </c>
      <c r="W59" s="90">
        <v>25600</v>
      </c>
      <c r="X59" s="14">
        <f t="shared" si="5"/>
        <v>1.8285714285714285</v>
      </c>
      <c r="AB59" s="89">
        <f t="shared" si="40"/>
        <v>14000</v>
      </c>
      <c r="AC59" s="90">
        <v>34000</v>
      </c>
      <c r="AD59" s="14">
        <f t="shared" si="7"/>
        <v>2.4285714285714284</v>
      </c>
    </row>
    <row r="60" spans="1:30" x14ac:dyDescent="0.25">
      <c r="A60" s="7">
        <v>53</v>
      </c>
      <c r="B60" s="9"/>
      <c r="C60" s="9">
        <v>3314</v>
      </c>
      <c r="D60" s="9">
        <v>2111</v>
      </c>
      <c r="E60" s="9"/>
      <c r="F60" s="13" t="s">
        <v>39</v>
      </c>
      <c r="G60" s="13"/>
      <c r="H60" s="87">
        <v>8000</v>
      </c>
      <c r="K60" s="89">
        <f t="shared" si="41"/>
        <v>8000</v>
      </c>
      <c r="L60" s="90">
        <v>2459</v>
      </c>
      <c r="M60" s="14">
        <f t="shared" si="1"/>
        <v>0.30737500000000001</v>
      </c>
      <c r="R60" s="89">
        <f t="shared" si="38"/>
        <v>8000</v>
      </c>
      <c r="S60" s="90">
        <v>5523</v>
      </c>
      <c r="T60" s="14">
        <f t="shared" si="3"/>
        <v>0.69037499999999996</v>
      </c>
      <c r="V60" s="89">
        <f t="shared" si="39"/>
        <v>8000</v>
      </c>
      <c r="W60" s="90">
        <v>7243</v>
      </c>
      <c r="X60" s="14">
        <f t="shared" si="5"/>
        <v>0.90537500000000004</v>
      </c>
      <c r="AB60" s="89">
        <f t="shared" si="40"/>
        <v>8000</v>
      </c>
      <c r="AC60" s="90">
        <v>9116</v>
      </c>
      <c r="AD60" s="14">
        <f t="shared" si="7"/>
        <v>1.1395</v>
      </c>
    </row>
    <row r="61" spans="1:30" x14ac:dyDescent="0.25">
      <c r="A61" s="7">
        <v>54</v>
      </c>
      <c r="B61" s="9"/>
      <c r="C61" s="9">
        <v>3319</v>
      </c>
      <c r="D61" s="9">
        <v>2111</v>
      </c>
      <c r="E61" s="9"/>
      <c r="F61" s="13" t="s">
        <v>335</v>
      </c>
      <c r="G61" s="13"/>
      <c r="K61" s="89">
        <f t="shared" si="41"/>
        <v>0</v>
      </c>
      <c r="L61" s="90">
        <f>5250+2030</f>
        <v>7280</v>
      </c>
      <c r="M61" s="14">
        <f t="shared" si="1"/>
        <v>0</v>
      </c>
      <c r="R61" s="89">
        <f t="shared" si="38"/>
        <v>0</v>
      </c>
      <c r="S61" s="90">
        <v>12880</v>
      </c>
      <c r="T61" s="14">
        <f t="shared" si="3"/>
        <v>0</v>
      </c>
      <c r="V61" s="89">
        <f t="shared" si="39"/>
        <v>0</v>
      </c>
      <c r="W61" s="90">
        <v>12880</v>
      </c>
      <c r="X61" s="14">
        <f t="shared" si="5"/>
        <v>0</v>
      </c>
      <c r="AB61" s="89">
        <f t="shared" si="40"/>
        <v>0</v>
      </c>
      <c r="AC61" s="90">
        <v>17220</v>
      </c>
      <c r="AD61" s="14">
        <f t="shared" si="7"/>
        <v>0</v>
      </c>
    </row>
    <row r="62" spans="1:30" x14ac:dyDescent="0.25">
      <c r="A62" s="7">
        <v>55</v>
      </c>
      <c r="B62" s="9"/>
      <c r="C62" s="9">
        <v>4319</v>
      </c>
      <c r="D62" s="9">
        <v>2111</v>
      </c>
      <c r="E62" s="9"/>
      <c r="F62" s="13" t="s">
        <v>40</v>
      </c>
      <c r="G62" s="13"/>
      <c r="K62" s="89">
        <f t="shared" si="41"/>
        <v>0</v>
      </c>
      <c r="L62" s="90">
        <v>24570</v>
      </c>
      <c r="M62" s="14">
        <f t="shared" si="1"/>
        <v>0</v>
      </c>
      <c r="R62" s="89">
        <f t="shared" si="38"/>
        <v>0</v>
      </c>
      <c r="S62" s="90">
        <v>52300</v>
      </c>
      <c r="T62" s="14">
        <f t="shared" si="3"/>
        <v>0</v>
      </c>
      <c r="V62" s="89">
        <f t="shared" si="39"/>
        <v>0</v>
      </c>
      <c r="W62" s="90">
        <v>55810</v>
      </c>
      <c r="X62" s="14">
        <f t="shared" si="5"/>
        <v>0</v>
      </c>
      <c r="AB62" s="89">
        <f t="shared" si="40"/>
        <v>0</v>
      </c>
      <c r="AC62" s="90">
        <v>74710</v>
      </c>
      <c r="AD62" s="14">
        <f t="shared" si="7"/>
        <v>0</v>
      </c>
    </row>
    <row r="63" spans="1:30" x14ac:dyDescent="0.25">
      <c r="A63" s="7">
        <v>56</v>
      </c>
      <c r="B63" s="9"/>
      <c r="C63" s="9">
        <v>3399</v>
      </c>
      <c r="D63" s="9">
        <v>2111</v>
      </c>
      <c r="E63" s="9"/>
      <c r="F63" s="13" t="s">
        <v>41</v>
      </c>
      <c r="G63" s="13"/>
      <c r="K63" s="89">
        <f t="shared" si="41"/>
        <v>0</v>
      </c>
      <c r="L63" s="90">
        <f>14000+7000</f>
        <v>21000</v>
      </c>
      <c r="M63" s="14">
        <f t="shared" si="1"/>
        <v>0</v>
      </c>
      <c r="R63" s="89">
        <f t="shared" si="38"/>
        <v>0</v>
      </c>
      <c r="S63" s="90">
        <v>34348.36</v>
      </c>
      <c r="T63" s="14">
        <f t="shared" si="3"/>
        <v>0</v>
      </c>
      <c r="V63" s="89">
        <f t="shared" si="39"/>
        <v>0</v>
      </c>
      <c r="W63" s="90">
        <v>50428.36</v>
      </c>
      <c r="X63" s="14">
        <f t="shared" si="5"/>
        <v>0</v>
      </c>
      <c r="AB63" s="89">
        <f t="shared" si="40"/>
        <v>0</v>
      </c>
      <c r="AC63" s="90">
        <v>74228.36</v>
      </c>
      <c r="AD63" s="14">
        <f t="shared" si="7"/>
        <v>0</v>
      </c>
    </row>
    <row r="64" spans="1:30" x14ac:dyDescent="0.25">
      <c r="A64" s="7">
        <v>57</v>
      </c>
      <c r="B64" s="9"/>
      <c r="C64" s="9">
        <v>6310</v>
      </c>
      <c r="D64" s="9">
        <v>2141</v>
      </c>
      <c r="E64" s="9"/>
      <c r="F64" s="13" t="s">
        <v>42</v>
      </c>
      <c r="G64" s="13"/>
      <c r="H64" s="87">
        <v>1400000</v>
      </c>
      <c r="J64" s="88">
        <v>800000</v>
      </c>
      <c r="K64" s="89">
        <f t="shared" si="41"/>
        <v>2200000</v>
      </c>
      <c r="L64" s="90">
        <v>1290721.6100000001</v>
      </c>
      <c r="M64" s="14">
        <f t="shared" si="1"/>
        <v>0.58669164090909098</v>
      </c>
      <c r="R64" s="89">
        <f t="shared" si="38"/>
        <v>2200000</v>
      </c>
      <c r="S64" s="90">
        <v>2867054.17</v>
      </c>
      <c r="T64" s="14">
        <f t="shared" si="3"/>
        <v>1.3032064409090909</v>
      </c>
      <c r="V64" s="89">
        <f t="shared" si="39"/>
        <v>2200000</v>
      </c>
      <c r="W64" s="90">
        <v>3854918.98</v>
      </c>
      <c r="X64" s="14">
        <f t="shared" si="5"/>
        <v>1.7522359000000001</v>
      </c>
      <c r="Z64" s="88">
        <v>2600000</v>
      </c>
      <c r="AB64" s="89">
        <f t="shared" si="40"/>
        <v>4800000</v>
      </c>
      <c r="AC64" s="90">
        <v>4946194.7</v>
      </c>
      <c r="AD64" s="14">
        <f t="shared" si="7"/>
        <v>1.0304572291666667</v>
      </c>
    </row>
    <row r="65" spans="1:30" x14ac:dyDescent="0.25">
      <c r="A65" s="7">
        <v>58</v>
      </c>
      <c r="B65" s="9"/>
      <c r="C65" s="9">
        <v>5512</v>
      </c>
      <c r="D65" s="9">
        <v>3113</v>
      </c>
      <c r="E65" s="9"/>
      <c r="F65" s="13" t="s">
        <v>43</v>
      </c>
      <c r="G65" s="13"/>
      <c r="K65" s="89">
        <f t="shared" si="41"/>
        <v>0</v>
      </c>
      <c r="M65" s="14">
        <f t="shared" si="1"/>
        <v>0</v>
      </c>
      <c r="R65" s="89">
        <f t="shared" si="38"/>
        <v>0</v>
      </c>
      <c r="T65" s="14">
        <f t="shared" si="3"/>
        <v>0</v>
      </c>
      <c r="V65" s="89">
        <f t="shared" si="39"/>
        <v>0</v>
      </c>
      <c r="X65" s="14">
        <f t="shared" si="5"/>
        <v>0</v>
      </c>
      <c r="AB65" s="89">
        <f t="shared" si="40"/>
        <v>0</v>
      </c>
      <c r="AD65" s="14">
        <f t="shared" si="7"/>
        <v>0</v>
      </c>
    </row>
    <row r="66" spans="1:30" x14ac:dyDescent="0.25">
      <c r="A66" s="7">
        <v>59</v>
      </c>
      <c r="B66" s="9"/>
      <c r="C66" s="9">
        <v>3421</v>
      </c>
      <c r="D66" s="9">
        <v>2221</v>
      </c>
      <c r="E66" s="9"/>
      <c r="F66" s="13" t="s">
        <v>369</v>
      </c>
      <c r="G66" s="13"/>
      <c r="M66" s="14"/>
      <c r="T66" s="14"/>
      <c r="X66" s="14"/>
      <c r="AB66" s="89">
        <v>0</v>
      </c>
      <c r="AC66" s="90">
        <v>5012360</v>
      </c>
      <c r="AD66" s="14">
        <f t="shared" si="7"/>
        <v>0</v>
      </c>
    </row>
    <row r="67" spans="1:30" x14ac:dyDescent="0.25">
      <c r="A67" s="7">
        <v>60</v>
      </c>
      <c r="B67" s="9"/>
      <c r="C67" s="9">
        <v>6171</v>
      </c>
      <c r="D67" s="9">
        <v>2310</v>
      </c>
      <c r="E67" s="9"/>
      <c r="F67" s="13" t="s">
        <v>304</v>
      </c>
      <c r="G67" s="13"/>
      <c r="K67" s="89">
        <f t="shared" si="41"/>
        <v>0</v>
      </c>
      <c r="M67" s="14">
        <f t="shared" si="1"/>
        <v>0</v>
      </c>
      <c r="R67" s="89">
        <f t="shared" si="38"/>
        <v>0</v>
      </c>
      <c r="T67" s="14">
        <f t="shared" si="3"/>
        <v>0</v>
      </c>
      <c r="V67" s="89">
        <f t="shared" si="39"/>
        <v>0</v>
      </c>
      <c r="X67" s="14">
        <f t="shared" si="5"/>
        <v>0</v>
      </c>
      <c r="AB67" s="89">
        <f t="shared" si="40"/>
        <v>0</v>
      </c>
      <c r="AD67" s="14">
        <f t="shared" si="7"/>
        <v>0</v>
      </c>
    </row>
    <row r="68" spans="1:30" x14ac:dyDescent="0.25">
      <c r="A68" s="7">
        <v>61</v>
      </c>
      <c r="B68" s="9"/>
      <c r="C68" s="9">
        <v>6171</v>
      </c>
      <c r="D68" s="9">
        <v>2324</v>
      </c>
      <c r="E68" s="9"/>
      <c r="F68" s="13" t="s">
        <v>44</v>
      </c>
      <c r="G68" s="13"/>
      <c r="K68" s="89">
        <f t="shared" si="41"/>
        <v>0</v>
      </c>
      <c r="L68" s="90">
        <v>41700.269999999997</v>
      </c>
      <c r="M68" s="14">
        <f t="shared" si="1"/>
        <v>0</v>
      </c>
      <c r="R68" s="89">
        <f t="shared" si="38"/>
        <v>0</v>
      </c>
      <c r="S68" s="90">
        <v>41700.269999999997</v>
      </c>
      <c r="T68" s="14">
        <f t="shared" si="3"/>
        <v>0</v>
      </c>
      <c r="V68" s="89">
        <f t="shared" si="39"/>
        <v>0</v>
      </c>
      <c r="W68" s="90">
        <v>47897.27</v>
      </c>
      <c r="X68" s="14">
        <f t="shared" si="5"/>
        <v>0</v>
      </c>
      <c r="AB68" s="89">
        <f t="shared" si="40"/>
        <v>0</v>
      </c>
      <c r="AC68" s="90">
        <v>47897.27</v>
      </c>
      <c r="AD68" s="14">
        <f t="shared" si="7"/>
        <v>0</v>
      </c>
    </row>
    <row r="69" spans="1:30" x14ac:dyDescent="0.25">
      <c r="A69" s="7">
        <v>62</v>
      </c>
      <c r="B69" s="9"/>
      <c r="C69" s="9">
        <v>6171</v>
      </c>
      <c r="D69" s="9">
        <v>2328</v>
      </c>
      <c r="E69" s="9"/>
      <c r="F69" s="13" t="s">
        <v>45</v>
      </c>
      <c r="G69" s="13"/>
      <c r="K69" s="89">
        <f t="shared" si="41"/>
        <v>0</v>
      </c>
      <c r="M69" s="14">
        <f t="shared" si="1"/>
        <v>0</v>
      </c>
      <c r="R69" s="89">
        <f t="shared" si="38"/>
        <v>0</v>
      </c>
      <c r="T69" s="14">
        <f t="shared" si="3"/>
        <v>0</v>
      </c>
      <c r="V69" s="89">
        <f t="shared" si="39"/>
        <v>0</v>
      </c>
      <c r="X69" s="14">
        <f t="shared" si="5"/>
        <v>0</v>
      </c>
      <c r="AB69" s="89">
        <f t="shared" si="40"/>
        <v>0</v>
      </c>
      <c r="AD69" s="14">
        <f t="shared" si="7"/>
        <v>0</v>
      </c>
    </row>
    <row r="70" spans="1:30" x14ac:dyDescent="0.25">
      <c r="A70" s="7">
        <v>63</v>
      </c>
      <c r="B70" s="9"/>
      <c r="C70" s="9">
        <v>6171</v>
      </c>
      <c r="D70" s="9">
        <v>2322</v>
      </c>
      <c r="E70" s="9"/>
      <c r="F70" s="13" t="s">
        <v>46</v>
      </c>
      <c r="G70" s="13"/>
      <c r="K70" s="89">
        <f t="shared" si="41"/>
        <v>0</v>
      </c>
      <c r="M70" s="14">
        <f t="shared" si="1"/>
        <v>0</v>
      </c>
      <c r="R70" s="89">
        <f t="shared" si="38"/>
        <v>0</v>
      </c>
      <c r="S70" s="90">
        <v>9687</v>
      </c>
      <c r="T70" s="14">
        <f t="shared" si="3"/>
        <v>0</v>
      </c>
      <c r="V70" s="89">
        <f t="shared" si="39"/>
        <v>0</v>
      </c>
      <c r="W70" s="90">
        <v>9687</v>
      </c>
      <c r="X70" s="14">
        <f t="shared" si="5"/>
        <v>0</v>
      </c>
      <c r="AB70" s="89">
        <f t="shared" si="40"/>
        <v>0</v>
      </c>
      <c r="AC70" s="90">
        <v>9687</v>
      </c>
      <c r="AD70" s="14">
        <f t="shared" si="7"/>
        <v>0</v>
      </c>
    </row>
    <row r="71" spans="1:30" x14ac:dyDescent="0.25">
      <c r="A71" s="7">
        <v>64</v>
      </c>
      <c r="B71" s="9"/>
      <c r="C71" s="9">
        <v>6171</v>
      </c>
      <c r="D71" s="9">
        <v>2329</v>
      </c>
      <c r="E71" s="9"/>
      <c r="F71" s="13" t="s">
        <v>47</v>
      </c>
      <c r="G71" s="13"/>
      <c r="K71" s="89">
        <f t="shared" si="41"/>
        <v>0</v>
      </c>
      <c r="M71" s="14">
        <f t="shared" si="1"/>
        <v>0</v>
      </c>
      <c r="R71" s="89">
        <f t="shared" si="38"/>
        <v>0</v>
      </c>
      <c r="T71" s="14">
        <f t="shared" si="3"/>
        <v>0</v>
      </c>
      <c r="V71" s="89">
        <f t="shared" si="39"/>
        <v>0</v>
      </c>
      <c r="X71" s="14">
        <f t="shared" si="5"/>
        <v>0</v>
      </c>
      <c r="AB71" s="89">
        <f t="shared" si="40"/>
        <v>0</v>
      </c>
      <c r="AD71" s="14">
        <f t="shared" si="7"/>
        <v>0</v>
      </c>
    </row>
    <row r="72" spans="1:30" x14ac:dyDescent="0.25">
      <c r="A72" s="7">
        <v>65</v>
      </c>
      <c r="B72" s="9"/>
      <c r="C72" s="9">
        <v>6409</v>
      </c>
      <c r="D72" s="9">
        <v>2212</v>
      </c>
      <c r="E72" s="26"/>
      <c r="F72" s="13" t="s">
        <v>48</v>
      </c>
      <c r="G72" s="13"/>
      <c r="K72" s="89">
        <f t="shared" si="41"/>
        <v>0</v>
      </c>
      <c r="L72" s="90">
        <v>4000</v>
      </c>
      <c r="M72" s="14">
        <f t="shared" si="1"/>
        <v>0</v>
      </c>
      <c r="R72" s="89">
        <f t="shared" si="38"/>
        <v>0</v>
      </c>
      <c r="S72" s="90">
        <v>4000</v>
      </c>
      <c r="T72" s="14">
        <f t="shared" si="3"/>
        <v>0</v>
      </c>
      <c r="V72" s="89">
        <f t="shared" si="39"/>
        <v>0</v>
      </c>
      <c r="W72" s="90">
        <v>4000</v>
      </c>
      <c r="X72" s="14">
        <f t="shared" si="5"/>
        <v>0</v>
      </c>
      <c r="AB72" s="89">
        <f t="shared" si="40"/>
        <v>0</v>
      </c>
      <c r="AC72" s="90">
        <v>4000</v>
      </c>
      <c r="AD72" s="14">
        <f t="shared" si="7"/>
        <v>0</v>
      </c>
    </row>
    <row r="73" spans="1:30" x14ac:dyDescent="0.25">
      <c r="A73" s="7">
        <v>66</v>
      </c>
      <c r="B73" s="9"/>
      <c r="C73" s="9">
        <v>6409</v>
      </c>
      <c r="D73" s="9">
        <v>2321</v>
      </c>
      <c r="E73" s="9"/>
      <c r="F73" s="13" t="s">
        <v>49</v>
      </c>
      <c r="G73" s="13"/>
      <c r="K73" s="89">
        <f t="shared" si="41"/>
        <v>0</v>
      </c>
      <c r="M73" s="14">
        <f t="shared" si="1"/>
        <v>0</v>
      </c>
      <c r="R73" s="89">
        <f t="shared" si="38"/>
        <v>0</v>
      </c>
      <c r="T73" s="14">
        <f t="shared" si="3"/>
        <v>0</v>
      </c>
      <c r="V73" s="89">
        <f t="shared" si="39"/>
        <v>0</v>
      </c>
      <c r="W73" s="90">
        <v>7280</v>
      </c>
      <c r="X73" s="14">
        <f t="shared" si="5"/>
        <v>0</v>
      </c>
      <c r="AB73" s="89">
        <f t="shared" si="40"/>
        <v>0</v>
      </c>
      <c r="AC73" s="90">
        <v>7280</v>
      </c>
      <c r="AD73" s="14">
        <f t="shared" ref="AD73:AD136" si="42">IF($AB73=0,0,AC73/$AB73)</f>
        <v>0</v>
      </c>
    </row>
    <row r="74" spans="1:30" x14ac:dyDescent="0.25">
      <c r="A74" s="7">
        <v>67</v>
      </c>
      <c r="B74" s="9"/>
      <c r="C74" s="9">
        <v>6409</v>
      </c>
      <c r="D74" s="9">
        <v>2324</v>
      </c>
      <c r="E74" s="9"/>
      <c r="F74" s="13" t="s">
        <v>44</v>
      </c>
      <c r="G74" s="13"/>
      <c r="K74" s="89">
        <f t="shared" si="41"/>
        <v>0</v>
      </c>
      <c r="L74" s="90">
        <v>2000</v>
      </c>
      <c r="M74" s="14">
        <f t="shared" si="1"/>
        <v>0</v>
      </c>
      <c r="R74" s="89">
        <f t="shared" si="38"/>
        <v>0</v>
      </c>
      <c r="S74" s="90">
        <v>2000</v>
      </c>
      <c r="T74" s="14">
        <f t="shared" si="3"/>
        <v>0</v>
      </c>
      <c r="V74" s="89">
        <f t="shared" si="39"/>
        <v>0</v>
      </c>
      <c r="W74" s="90">
        <v>3000</v>
      </c>
      <c r="X74" s="14">
        <f t="shared" ref="X74:X138" si="43">IF($V74=0,0,W74/$V74)</f>
        <v>0</v>
      </c>
      <c r="AB74" s="89">
        <f t="shared" si="40"/>
        <v>0</v>
      </c>
      <c r="AC74" s="90">
        <v>3000</v>
      </c>
      <c r="AD74" s="14">
        <f t="shared" si="42"/>
        <v>0</v>
      </c>
    </row>
    <row r="75" spans="1:30" x14ac:dyDescent="0.25">
      <c r="A75" s="7">
        <v>68</v>
      </c>
      <c r="B75" s="9"/>
      <c r="C75" s="9">
        <v>6409</v>
      </c>
      <c r="D75" s="9">
        <v>2328</v>
      </c>
      <c r="E75" s="9"/>
      <c r="F75" s="13" t="s">
        <v>45</v>
      </c>
      <c r="G75" s="13"/>
      <c r="K75" s="89">
        <f t="shared" si="41"/>
        <v>0</v>
      </c>
      <c r="M75" s="14">
        <f t="shared" ref="M75:M142" si="44">IF($K75=0,0,L75/$K75)</f>
        <v>0</v>
      </c>
      <c r="R75" s="89">
        <f t="shared" si="38"/>
        <v>0</v>
      </c>
      <c r="T75" s="14">
        <f t="shared" ref="T75:T140" si="45">IF($R75=0,0,S75/$R75)</f>
        <v>0</v>
      </c>
      <c r="V75" s="89">
        <f t="shared" si="39"/>
        <v>0</v>
      </c>
      <c r="X75" s="14">
        <f t="shared" si="43"/>
        <v>0</v>
      </c>
      <c r="AB75" s="89">
        <f t="shared" si="40"/>
        <v>0</v>
      </c>
      <c r="AD75" s="14">
        <f t="shared" si="42"/>
        <v>0</v>
      </c>
    </row>
    <row r="76" spans="1:30" x14ac:dyDescent="0.25">
      <c r="A76" s="7">
        <v>69</v>
      </c>
      <c r="B76" s="9"/>
      <c r="C76" s="9">
        <v>6409</v>
      </c>
      <c r="D76" s="9">
        <v>2329</v>
      </c>
      <c r="E76" s="9"/>
      <c r="F76" s="13" t="s">
        <v>47</v>
      </c>
      <c r="G76" s="13"/>
      <c r="H76" s="87">
        <f>3485600+780500</f>
        <v>4266100</v>
      </c>
      <c r="K76" s="89">
        <f t="shared" si="41"/>
        <v>4266100</v>
      </c>
      <c r="L76" s="90">
        <f>800</f>
        <v>800</v>
      </c>
      <c r="M76" s="14">
        <f t="shared" si="44"/>
        <v>1.8752490565153185E-4</v>
      </c>
      <c r="R76" s="89">
        <f t="shared" si="38"/>
        <v>4266100</v>
      </c>
      <c r="S76" s="90">
        <f>800</f>
        <v>800</v>
      </c>
      <c r="T76" s="14">
        <f t="shared" si="45"/>
        <v>1.8752490565153185E-4</v>
      </c>
      <c r="V76" s="89">
        <f t="shared" si="39"/>
        <v>4266100</v>
      </c>
      <c r="W76" s="90">
        <f>800</f>
        <v>800</v>
      </c>
      <c r="X76" s="14">
        <f t="shared" si="43"/>
        <v>1.8752490565153185E-4</v>
      </c>
      <c r="AB76" s="89">
        <f t="shared" si="40"/>
        <v>4266100</v>
      </c>
      <c r="AC76" s="90">
        <v>2589600</v>
      </c>
      <c r="AD76" s="14">
        <f t="shared" si="42"/>
        <v>0.60701811959400853</v>
      </c>
    </row>
    <row r="77" spans="1:30" x14ac:dyDescent="0.25">
      <c r="A77" s="7">
        <v>70</v>
      </c>
      <c r="B77" s="9"/>
      <c r="C77" s="9">
        <v>6409</v>
      </c>
      <c r="D77" s="9">
        <v>2229</v>
      </c>
      <c r="E77" s="9"/>
      <c r="F77" s="13" t="s">
        <v>336</v>
      </c>
      <c r="G77" s="13"/>
      <c r="K77" s="89">
        <f t="shared" si="41"/>
        <v>0</v>
      </c>
      <c r="L77" s="90">
        <v>6364</v>
      </c>
      <c r="M77" s="14">
        <v>0</v>
      </c>
      <c r="R77" s="89">
        <f t="shared" si="38"/>
        <v>0</v>
      </c>
      <c r="S77" s="90">
        <v>6364</v>
      </c>
      <c r="T77" s="14">
        <f t="shared" si="45"/>
        <v>0</v>
      </c>
      <c r="V77" s="89">
        <f t="shared" si="39"/>
        <v>0</v>
      </c>
      <c r="W77" s="90">
        <v>6364</v>
      </c>
      <c r="X77" s="14">
        <f t="shared" si="43"/>
        <v>0</v>
      </c>
      <c r="AA77" s="88">
        <v>13800</v>
      </c>
      <c r="AB77" s="89">
        <f t="shared" si="40"/>
        <v>13800</v>
      </c>
      <c r="AC77" s="90">
        <v>13774</v>
      </c>
      <c r="AD77" s="14">
        <f t="shared" si="42"/>
        <v>0.99811594202898546</v>
      </c>
    </row>
    <row r="78" spans="1:30" x14ac:dyDescent="0.25">
      <c r="A78" s="7">
        <v>71</v>
      </c>
      <c r="B78" s="9"/>
      <c r="C78" s="9">
        <v>6409</v>
      </c>
      <c r="D78" s="9">
        <v>2229</v>
      </c>
      <c r="E78" s="9"/>
      <c r="F78" s="13" t="s">
        <v>50</v>
      </c>
      <c r="G78" s="13"/>
      <c r="K78" s="89">
        <f t="shared" si="41"/>
        <v>0</v>
      </c>
      <c r="M78" s="14">
        <f t="shared" si="44"/>
        <v>0</v>
      </c>
      <c r="R78" s="89">
        <f t="shared" ref="R78" si="46">M78+N78+O78</f>
        <v>0</v>
      </c>
      <c r="T78" s="14">
        <f t="shared" si="45"/>
        <v>0</v>
      </c>
      <c r="V78" s="89">
        <f t="shared" si="39"/>
        <v>0</v>
      </c>
      <c r="X78" s="14">
        <f t="shared" si="43"/>
        <v>0</v>
      </c>
      <c r="AB78" s="89">
        <f t="shared" si="40"/>
        <v>0</v>
      </c>
      <c r="AD78" s="14">
        <f t="shared" si="42"/>
        <v>0</v>
      </c>
    </row>
    <row r="79" spans="1:30" ht="13.8" thickBot="1" x14ac:dyDescent="0.3">
      <c r="A79" s="7">
        <v>72</v>
      </c>
      <c r="B79" s="9"/>
      <c r="C79" s="16" t="s">
        <v>10</v>
      </c>
      <c r="D79" s="16"/>
      <c r="E79" s="16"/>
      <c r="F79" s="17"/>
      <c r="G79" s="17"/>
      <c r="H79" s="65">
        <f>SUM(H53:H78)</f>
        <v>5933100</v>
      </c>
      <c r="I79" s="78">
        <f>SUM(I53:I78)</f>
        <v>0</v>
      </c>
      <c r="J79" s="78">
        <f>SUM(J53:J78)</f>
        <v>800000</v>
      </c>
      <c r="K79" s="18">
        <f>SUM(K53:K78)</f>
        <v>6733100</v>
      </c>
      <c r="L79" s="101">
        <f>SUM(L53:L78)</f>
        <v>1530780.8800000001</v>
      </c>
      <c r="M79" s="14">
        <f t="shared" si="44"/>
        <v>0.22735157356938113</v>
      </c>
      <c r="N79" s="78">
        <f t="shared" ref="N79:S79" si="47">SUM(N53:N78)</f>
        <v>0</v>
      </c>
      <c r="O79" s="78">
        <f t="shared" si="47"/>
        <v>0</v>
      </c>
      <c r="P79" s="78">
        <f t="shared" si="47"/>
        <v>0</v>
      </c>
      <c r="Q79" s="78">
        <f t="shared" si="47"/>
        <v>0</v>
      </c>
      <c r="R79" s="18">
        <f t="shared" si="47"/>
        <v>6733100</v>
      </c>
      <c r="S79" s="101">
        <f t="shared" si="47"/>
        <v>3282022.8</v>
      </c>
      <c r="T79" s="112">
        <f t="shared" si="45"/>
        <v>0.48744602040664775</v>
      </c>
      <c r="U79" s="78">
        <f t="shared" ref="U79" si="48">SUM(U53:U78)</f>
        <v>0</v>
      </c>
      <c r="V79" s="18">
        <f t="shared" ref="V79" si="49">SUM(V53:V78)</f>
        <v>6733100</v>
      </c>
      <c r="W79" s="101">
        <f t="shared" ref="W79" si="50">SUM(W53:W78)</f>
        <v>4387539.1099999994</v>
      </c>
      <c r="X79" s="112">
        <f t="shared" si="43"/>
        <v>0.65163730079755233</v>
      </c>
      <c r="Y79" s="78">
        <f t="shared" ref="Y79:AC79" si="51">SUM(Y53:Y78)</f>
        <v>0</v>
      </c>
      <c r="Z79" s="78">
        <f t="shared" si="51"/>
        <v>2600000</v>
      </c>
      <c r="AA79" s="78">
        <f t="shared" si="51"/>
        <v>13800</v>
      </c>
      <c r="AB79" s="18">
        <f t="shared" si="51"/>
        <v>9346900</v>
      </c>
      <c r="AC79" s="101">
        <f t="shared" si="51"/>
        <v>13198889.08</v>
      </c>
      <c r="AD79" s="112">
        <f t="shared" si="42"/>
        <v>1.4121140784645176</v>
      </c>
    </row>
    <row r="80" spans="1:30" ht="13.8" thickTop="1" x14ac:dyDescent="0.25">
      <c r="A80" s="7">
        <v>73</v>
      </c>
      <c r="B80" s="9"/>
      <c r="C80" s="9"/>
      <c r="D80" s="9">
        <v>4121</v>
      </c>
      <c r="E80" s="9"/>
      <c r="F80" s="13" t="s">
        <v>51</v>
      </c>
      <c r="G80" s="13"/>
      <c r="H80" s="87">
        <v>45000</v>
      </c>
      <c r="K80" s="89">
        <f t="shared" si="41"/>
        <v>45000</v>
      </c>
      <c r="L80" s="90">
        <v>45000</v>
      </c>
      <c r="M80" s="14">
        <f t="shared" si="44"/>
        <v>1</v>
      </c>
      <c r="R80" s="89">
        <f t="shared" ref="R80:R85" si="52">H80+I80+J80+N80+O80+P80+Q80</f>
        <v>45000</v>
      </c>
      <c r="S80" s="90">
        <v>45000</v>
      </c>
      <c r="T80" s="14">
        <f t="shared" si="45"/>
        <v>1</v>
      </c>
      <c r="V80" s="89">
        <f t="shared" si="39"/>
        <v>45000</v>
      </c>
      <c r="W80" s="90">
        <v>45000</v>
      </c>
      <c r="X80" s="14">
        <f t="shared" si="43"/>
        <v>1</v>
      </c>
      <c r="AB80" s="89">
        <f t="shared" si="40"/>
        <v>45000</v>
      </c>
      <c r="AC80" s="90">
        <v>45000</v>
      </c>
      <c r="AD80" s="14">
        <f t="shared" si="42"/>
        <v>1</v>
      </c>
    </row>
    <row r="81" spans="1:30" x14ac:dyDescent="0.25">
      <c r="A81" s="7">
        <v>74</v>
      </c>
      <c r="B81" s="9"/>
      <c r="C81" s="9">
        <v>6330</v>
      </c>
      <c r="D81" s="9">
        <v>4131</v>
      </c>
      <c r="E81" s="9"/>
      <c r="F81" s="13" t="s">
        <v>52</v>
      </c>
      <c r="G81" s="13"/>
      <c r="K81" s="89">
        <f t="shared" si="41"/>
        <v>0</v>
      </c>
      <c r="M81" s="14">
        <f t="shared" si="44"/>
        <v>0</v>
      </c>
      <c r="R81" s="89">
        <f t="shared" si="52"/>
        <v>0</v>
      </c>
      <c r="S81" s="90">
        <v>10723.95</v>
      </c>
      <c r="T81" s="14">
        <f t="shared" si="45"/>
        <v>0</v>
      </c>
      <c r="V81" s="89">
        <f t="shared" si="39"/>
        <v>0</v>
      </c>
      <c r="W81" s="90">
        <v>24789.95</v>
      </c>
      <c r="X81" s="14">
        <f t="shared" si="43"/>
        <v>0</v>
      </c>
      <c r="AB81" s="89">
        <f t="shared" si="40"/>
        <v>0</v>
      </c>
      <c r="AC81" s="90">
        <v>50439.4</v>
      </c>
      <c r="AD81" s="14">
        <f t="shared" si="42"/>
        <v>0</v>
      </c>
    </row>
    <row r="82" spans="1:30" x14ac:dyDescent="0.25">
      <c r="A82" s="7">
        <v>75</v>
      </c>
      <c r="B82" s="9"/>
      <c r="C82" s="9">
        <v>6330</v>
      </c>
      <c r="D82" s="9">
        <v>4137</v>
      </c>
      <c r="E82" s="9"/>
      <c r="F82" s="13" t="s">
        <v>53</v>
      </c>
      <c r="G82" s="13"/>
      <c r="K82" s="89">
        <f t="shared" si="41"/>
        <v>0</v>
      </c>
      <c r="M82" s="14">
        <f t="shared" si="44"/>
        <v>0</v>
      </c>
      <c r="R82" s="89">
        <f t="shared" si="52"/>
        <v>0</v>
      </c>
      <c r="T82" s="14">
        <f t="shared" si="45"/>
        <v>0</v>
      </c>
      <c r="V82" s="89">
        <f t="shared" si="39"/>
        <v>0</v>
      </c>
      <c r="X82" s="14">
        <f t="shared" si="43"/>
        <v>0</v>
      </c>
      <c r="AB82" s="89">
        <f t="shared" si="40"/>
        <v>0</v>
      </c>
      <c r="AD82" s="14">
        <f t="shared" si="42"/>
        <v>0</v>
      </c>
    </row>
    <row r="83" spans="1:30" x14ac:dyDescent="0.25">
      <c r="A83" s="7">
        <v>76</v>
      </c>
      <c r="B83" s="9"/>
      <c r="C83" s="9">
        <v>6330</v>
      </c>
      <c r="D83" s="9">
        <v>4139</v>
      </c>
      <c r="E83" s="9"/>
      <c r="F83" s="13" t="s">
        <v>54</v>
      </c>
      <c r="G83" s="13"/>
      <c r="H83" s="87">
        <v>400000</v>
      </c>
      <c r="K83" s="89">
        <f t="shared" si="41"/>
        <v>400000</v>
      </c>
      <c r="M83" s="14">
        <f t="shared" si="44"/>
        <v>0</v>
      </c>
      <c r="R83" s="89">
        <f t="shared" si="52"/>
        <v>400000</v>
      </c>
      <c r="S83" s="90">
        <v>55602</v>
      </c>
      <c r="T83" s="14">
        <f t="shared" si="45"/>
        <v>0.13900499999999999</v>
      </c>
      <c r="V83" s="89">
        <f t="shared" si="39"/>
        <v>400000</v>
      </c>
      <c r="W83" s="90">
        <v>144400</v>
      </c>
      <c r="X83" s="14">
        <f t="shared" si="43"/>
        <v>0.36099999999999999</v>
      </c>
      <c r="AB83" s="89">
        <f t="shared" si="40"/>
        <v>400000</v>
      </c>
      <c r="AC83" s="90">
        <v>279123</v>
      </c>
      <c r="AD83" s="14">
        <f t="shared" si="42"/>
        <v>0.69780750000000002</v>
      </c>
    </row>
    <row r="84" spans="1:30" x14ac:dyDescent="0.25">
      <c r="A84" s="7">
        <v>77</v>
      </c>
      <c r="B84" s="9"/>
      <c r="C84" s="9">
        <v>6330</v>
      </c>
      <c r="D84" s="9">
        <v>4133</v>
      </c>
      <c r="E84" s="9"/>
      <c r="F84" s="13" t="s">
        <v>55</v>
      </c>
      <c r="G84" s="13"/>
      <c r="K84" s="89">
        <f t="shared" si="41"/>
        <v>0</v>
      </c>
      <c r="M84" s="14">
        <f t="shared" si="44"/>
        <v>0</v>
      </c>
      <c r="R84" s="89">
        <f t="shared" si="52"/>
        <v>0</v>
      </c>
      <c r="T84" s="14">
        <f t="shared" si="45"/>
        <v>0</v>
      </c>
      <c r="V84" s="89">
        <f t="shared" si="39"/>
        <v>0</v>
      </c>
      <c r="X84" s="14">
        <f t="shared" si="43"/>
        <v>0</v>
      </c>
      <c r="AB84" s="89">
        <f t="shared" si="40"/>
        <v>0</v>
      </c>
      <c r="AD84" s="14">
        <f t="shared" si="42"/>
        <v>0</v>
      </c>
    </row>
    <row r="85" spans="1:30" x14ac:dyDescent="0.25">
      <c r="A85" s="7">
        <v>78</v>
      </c>
      <c r="B85" s="9"/>
      <c r="C85" s="9">
        <v>6330</v>
      </c>
      <c r="D85" s="9">
        <v>4134</v>
      </c>
      <c r="E85" s="9"/>
      <c r="F85" s="13" t="s">
        <v>56</v>
      </c>
      <c r="G85" s="13"/>
      <c r="H85" s="87">
        <v>400000</v>
      </c>
      <c r="K85" s="89">
        <f t="shared" si="41"/>
        <v>400000</v>
      </c>
      <c r="M85" s="14">
        <f t="shared" si="44"/>
        <v>0</v>
      </c>
      <c r="R85" s="89">
        <f t="shared" si="52"/>
        <v>400000</v>
      </c>
      <c r="S85" s="90">
        <v>72836.7</v>
      </c>
      <c r="T85" s="14">
        <f t="shared" si="45"/>
        <v>0.18209175</v>
      </c>
      <c r="V85" s="89">
        <f t="shared" si="39"/>
        <v>400000</v>
      </c>
      <c r="W85" s="90">
        <v>164101.70000000001</v>
      </c>
      <c r="X85" s="14">
        <f t="shared" si="43"/>
        <v>0.41025425000000004</v>
      </c>
      <c r="AB85" s="89">
        <f t="shared" si="40"/>
        <v>400000</v>
      </c>
      <c r="AC85" s="90">
        <v>44100328.460000001</v>
      </c>
      <c r="AD85" s="14">
        <f t="shared" si="42"/>
        <v>110.25082115000001</v>
      </c>
    </row>
    <row r="86" spans="1:30" ht="13.8" thickBot="1" x14ac:dyDescent="0.3">
      <c r="A86" s="7">
        <v>79</v>
      </c>
      <c r="B86" s="27"/>
      <c r="C86" s="28" t="s">
        <v>57</v>
      </c>
      <c r="D86" s="28"/>
      <c r="E86" s="28"/>
      <c r="F86" s="29"/>
      <c r="G86" s="29"/>
      <c r="H86" s="65">
        <f>SUM(H80:H85,H79,H49,H37,H11)</f>
        <v>47985500</v>
      </c>
      <c r="I86" s="78">
        <f>SUM(I80:I85,I79,I49,I37,I11)+27000</f>
        <v>119200</v>
      </c>
      <c r="J86" s="78">
        <f>SUM(J80:J85,J79,J49,J37,J11)</f>
        <v>886300</v>
      </c>
      <c r="K86" s="18">
        <f>SUM(K80:K85,K79,K49,K37,K11)</f>
        <v>48964000</v>
      </c>
      <c r="L86" s="101">
        <f>SUM(L80:L85,L79,L49,L37,L11)</f>
        <v>7800280.8799999999</v>
      </c>
      <c r="M86" s="14">
        <f t="shared" si="44"/>
        <v>0.15930644718568746</v>
      </c>
      <c r="N86" s="78">
        <f t="shared" ref="N86:S86" si="53">SUM(N80:N85,N79,N49,N37,N11)</f>
        <v>6000000</v>
      </c>
      <c r="O86" s="78">
        <f t="shared" si="53"/>
        <v>1648000</v>
      </c>
      <c r="P86" s="78">
        <f t="shared" si="53"/>
        <v>1740100</v>
      </c>
      <c r="Q86" s="78">
        <f t="shared" si="53"/>
        <v>2379300</v>
      </c>
      <c r="R86" s="18">
        <f t="shared" si="53"/>
        <v>60731400</v>
      </c>
      <c r="S86" s="101">
        <f t="shared" si="53"/>
        <v>29522788.919999998</v>
      </c>
      <c r="T86" s="112">
        <f t="shared" si="45"/>
        <v>0.48612067102026296</v>
      </c>
      <c r="U86" s="78">
        <f t="shared" ref="U86" si="54">SUM(U80:U85,U79,U49,U37,U11)</f>
        <v>4217900</v>
      </c>
      <c r="V86" s="18">
        <f t="shared" ref="V86" si="55">SUM(V80:V85,V79,V49,V37,V11)</f>
        <v>64949300</v>
      </c>
      <c r="W86" s="101">
        <f t="shared" ref="W86" si="56">SUM(W80:W85,W79,W49,W37,W11)</f>
        <v>48841959.379999995</v>
      </c>
      <c r="X86" s="112">
        <f t="shared" si="43"/>
        <v>0.75200132072247117</v>
      </c>
      <c r="Y86" s="78">
        <f t="shared" ref="Y86:AC86" si="57">SUM(Y80:Y85,Y79,Y49,Y37,Y11)</f>
        <v>9000000</v>
      </c>
      <c r="Z86" s="78">
        <f t="shared" si="57"/>
        <v>2607300</v>
      </c>
      <c r="AA86" s="78">
        <f t="shared" si="57"/>
        <v>296400</v>
      </c>
      <c r="AB86" s="18">
        <f t="shared" si="57"/>
        <v>76853000</v>
      </c>
      <c r="AC86" s="101">
        <f t="shared" si="57"/>
        <v>124708581.03</v>
      </c>
      <c r="AD86" s="112">
        <f t="shared" si="42"/>
        <v>1.6226898238194996</v>
      </c>
    </row>
    <row r="87" spans="1:30" ht="13.8" thickTop="1" x14ac:dyDescent="0.25">
      <c r="A87" s="7">
        <v>80</v>
      </c>
      <c r="B87" s="9"/>
      <c r="C87" s="9"/>
      <c r="D87" s="9"/>
      <c r="E87" s="9"/>
      <c r="F87" s="13"/>
      <c r="G87" s="13"/>
      <c r="M87" s="14">
        <f t="shared" si="44"/>
        <v>0</v>
      </c>
      <c r="T87" s="14">
        <f t="shared" si="45"/>
        <v>0</v>
      </c>
      <c r="X87" s="14">
        <f t="shared" si="43"/>
        <v>0</v>
      </c>
      <c r="AD87" s="14">
        <f t="shared" si="42"/>
        <v>0</v>
      </c>
    </row>
    <row r="88" spans="1:30" x14ac:dyDescent="0.25">
      <c r="A88" s="7">
        <v>81</v>
      </c>
      <c r="B88" s="9" t="s">
        <v>58</v>
      </c>
      <c r="C88" s="9"/>
      <c r="D88" s="9"/>
      <c r="E88" s="9"/>
      <c r="F88" s="13"/>
      <c r="G88" s="13"/>
      <c r="M88" s="14">
        <f t="shared" si="44"/>
        <v>0</v>
      </c>
      <c r="T88" s="14">
        <f t="shared" si="45"/>
        <v>0</v>
      </c>
      <c r="X88" s="14">
        <f t="shared" si="43"/>
        <v>0</v>
      </c>
      <c r="AD88" s="14">
        <f t="shared" si="42"/>
        <v>0</v>
      </c>
    </row>
    <row r="89" spans="1:30" x14ac:dyDescent="0.25">
      <c r="A89" s="7">
        <v>82</v>
      </c>
      <c r="B89" s="9"/>
      <c r="C89" s="9"/>
      <c r="D89" s="9"/>
      <c r="E89" s="9"/>
      <c r="F89" s="13"/>
      <c r="G89" s="13"/>
      <c r="M89" s="14">
        <f t="shared" si="44"/>
        <v>0</v>
      </c>
      <c r="T89" s="14">
        <f t="shared" si="45"/>
        <v>0</v>
      </c>
      <c r="X89" s="14">
        <f t="shared" si="43"/>
        <v>0</v>
      </c>
      <c r="AD89" s="14">
        <f t="shared" si="42"/>
        <v>0</v>
      </c>
    </row>
    <row r="90" spans="1:30" x14ac:dyDescent="0.25">
      <c r="A90" s="7">
        <v>83</v>
      </c>
      <c r="B90" s="27" t="s">
        <v>59</v>
      </c>
      <c r="C90" s="9"/>
      <c r="D90" s="9"/>
      <c r="E90" s="9"/>
      <c r="F90" s="13"/>
      <c r="G90" s="13"/>
      <c r="M90" s="14">
        <f t="shared" si="44"/>
        <v>0</v>
      </c>
      <c r="T90" s="14">
        <f t="shared" si="45"/>
        <v>0</v>
      </c>
      <c r="X90" s="14">
        <f t="shared" si="43"/>
        <v>0</v>
      </c>
      <c r="AD90" s="14">
        <f t="shared" si="42"/>
        <v>0</v>
      </c>
    </row>
    <row r="91" spans="1:30" x14ac:dyDescent="0.25">
      <c r="A91" s="7">
        <v>84</v>
      </c>
      <c r="B91" s="27"/>
      <c r="C91" s="9"/>
      <c r="D91" s="9"/>
      <c r="E91" s="9"/>
      <c r="F91" s="13"/>
      <c r="G91" s="13"/>
      <c r="M91" s="14">
        <f t="shared" si="44"/>
        <v>0</v>
      </c>
      <c r="T91" s="14">
        <f t="shared" si="45"/>
        <v>0</v>
      </c>
      <c r="X91" s="14">
        <f t="shared" si="43"/>
        <v>0</v>
      </c>
      <c r="AD91" s="14">
        <f t="shared" si="42"/>
        <v>0</v>
      </c>
    </row>
    <row r="92" spans="1:30" x14ac:dyDescent="0.25">
      <c r="A92" s="7">
        <v>85</v>
      </c>
      <c r="B92" s="9" t="s">
        <v>60</v>
      </c>
      <c r="C92" s="9"/>
      <c r="D92" s="9"/>
      <c r="E92" s="9"/>
      <c r="F92" s="13"/>
      <c r="G92" s="13"/>
      <c r="M92" s="14">
        <f t="shared" si="44"/>
        <v>0</v>
      </c>
      <c r="T92" s="14">
        <f t="shared" si="45"/>
        <v>0</v>
      </c>
      <c r="X92" s="14">
        <f t="shared" si="43"/>
        <v>0</v>
      </c>
      <c r="AD92" s="14">
        <f t="shared" si="42"/>
        <v>0</v>
      </c>
    </row>
    <row r="93" spans="1:30" x14ac:dyDescent="0.25">
      <c r="A93" s="7">
        <v>86</v>
      </c>
      <c r="B93" s="9"/>
      <c r="C93" s="9">
        <v>3636</v>
      </c>
      <c r="D93" s="9">
        <v>5137</v>
      </c>
      <c r="E93" s="9"/>
      <c r="F93" s="13" t="s">
        <v>61</v>
      </c>
      <c r="G93" s="13"/>
      <c r="H93" s="87">
        <v>30000</v>
      </c>
      <c r="K93" s="89">
        <f t="shared" ref="K93:K109" si="58">H93+I93+J93</f>
        <v>30000</v>
      </c>
      <c r="M93" s="14">
        <f t="shared" si="44"/>
        <v>0</v>
      </c>
      <c r="R93" s="89">
        <f t="shared" ref="R93:R109" si="59">H93+I93+J93+N93+O93+P93+Q93</f>
        <v>30000</v>
      </c>
      <c r="T93" s="14">
        <f t="shared" si="45"/>
        <v>0</v>
      </c>
      <c r="V93" s="89">
        <f t="shared" ref="V93:V109" si="60">H93+I93+J93+N93+O93+P93+Q93+U93</f>
        <v>30000</v>
      </c>
      <c r="X93" s="14">
        <f t="shared" si="43"/>
        <v>0</v>
      </c>
      <c r="AB93" s="89">
        <f t="shared" ref="AB93:AB109" si="61">H93+I93+J93+N93+O93+P93+Q93+U93+Y93+Z93+AA93</f>
        <v>30000</v>
      </c>
      <c r="AD93" s="14">
        <f t="shared" si="42"/>
        <v>0</v>
      </c>
    </row>
    <row r="94" spans="1:30" x14ac:dyDescent="0.25">
      <c r="A94" s="7">
        <v>87</v>
      </c>
      <c r="B94" s="9"/>
      <c r="C94" s="9">
        <v>3636</v>
      </c>
      <c r="D94" s="9">
        <v>5169</v>
      </c>
      <c r="E94" s="9"/>
      <c r="F94" s="13" t="s">
        <v>62</v>
      </c>
      <c r="G94" s="13"/>
      <c r="H94" s="87">
        <v>400000</v>
      </c>
      <c r="K94" s="89">
        <f t="shared" si="58"/>
        <v>400000</v>
      </c>
      <c r="L94" s="90">
        <v>25926.32</v>
      </c>
      <c r="M94" s="14">
        <f t="shared" si="44"/>
        <v>6.4815799999999993E-2</v>
      </c>
      <c r="R94" s="89">
        <f t="shared" si="59"/>
        <v>400000</v>
      </c>
      <c r="S94" s="90">
        <f>25926.32+20899.69</f>
        <v>46826.009999999995</v>
      </c>
      <c r="T94" s="14">
        <f t="shared" si="45"/>
        <v>0.11706502499999999</v>
      </c>
      <c r="V94" s="89">
        <f t="shared" si="60"/>
        <v>400000</v>
      </c>
      <c r="W94" s="90">
        <v>166982.07</v>
      </c>
      <c r="X94" s="14">
        <f t="shared" si="43"/>
        <v>0.41745517500000001</v>
      </c>
      <c r="AB94" s="89">
        <f t="shared" si="61"/>
        <v>400000</v>
      </c>
      <c r="AC94" s="90">
        <v>146260.78</v>
      </c>
      <c r="AD94" s="14">
        <f t="shared" si="42"/>
        <v>0.36565195</v>
      </c>
    </row>
    <row r="95" spans="1:30" x14ac:dyDescent="0.25">
      <c r="A95" s="7">
        <v>88</v>
      </c>
      <c r="B95" s="9"/>
      <c r="C95" s="9">
        <v>3636</v>
      </c>
      <c r="D95" s="9">
        <v>5139</v>
      </c>
      <c r="E95" s="9"/>
      <c r="F95" s="13" t="s">
        <v>63</v>
      </c>
      <c r="G95" s="13"/>
      <c r="H95" s="87">
        <v>80000</v>
      </c>
      <c r="K95" s="89">
        <f t="shared" si="58"/>
        <v>80000</v>
      </c>
      <c r="M95" s="14">
        <f t="shared" si="44"/>
        <v>0</v>
      </c>
      <c r="R95" s="89">
        <f t="shared" si="59"/>
        <v>80000</v>
      </c>
      <c r="T95" s="14">
        <f t="shared" si="45"/>
        <v>0</v>
      </c>
      <c r="V95" s="89">
        <f t="shared" si="60"/>
        <v>80000</v>
      </c>
      <c r="X95" s="14">
        <f t="shared" si="43"/>
        <v>0</v>
      </c>
      <c r="AB95" s="89">
        <f t="shared" si="61"/>
        <v>80000</v>
      </c>
      <c r="AD95" s="14">
        <f t="shared" si="42"/>
        <v>0</v>
      </c>
    </row>
    <row r="96" spans="1:30" x14ac:dyDescent="0.25">
      <c r="A96" s="7">
        <v>89</v>
      </c>
      <c r="B96" s="9"/>
      <c r="C96" s="9">
        <v>3636</v>
      </c>
      <c r="D96" s="9">
        <v>5137</v>
      </c>
      <c r="E96" s="9"/>
      <c r="F96" s="13" t="s">
        <v>64</v>
      </c>
      <c r="G96" s="13"/>
      <c r="H96" s="87">
        <v>100000</v>
      </c>
      <c r="K96" s="89">
        <f t="shared" si="58"/>
        <v>100000</v>
      </c>
      <c r="L96" s="90">
        <v>17659</v>
      </c>
      <c r="M96" s="14">
        <f t="shared" si="44"/>
        <v>0.17659</v>
      </c>
      <c r="R96" s="89">
        <f t="shared" si="59"/>
        <v>100000</v>
      </c>
      <c r="S96" s="90">
        <f>17659+33634.61</f>
        <v>51293.61</v>
      </c>
      <c r="T96" s="14">
        <f t="shared" si="45"/>
        <v>0.51293610000000001</v>
      </c>
      <c r="V96" s="89">
        <f t="shared" si="60"/>
        <v>100000</v>
      </c>
      <c r="W96" s="90">
        <f>17659+33634.61</f>
        <v>51293.61</v>
      </c>
      <c r="X96" s="14">
        <f t="shared" si="43"/>
        <v>0.51293610000000001</v>
      </c>
      <c r="AB96" s="89">
        <f t="shared" si="61"/>
        <v>100000</v>
      </c>
      <c r="AC96" s="90">
        <f>17659+33634.61</f>
        <v>51293.61</v>
      </c>
      <c r="AD96" s="14">
        <f t="shared" si="42"/>
        <v>0.51293610000000001</v>
      </c>
    </row>
    <row r="97" spans="1:30" x14ac:dyDescent="0.25">
      <c r="A97" s="7">
        <v>90</v>
      </c>
      <c r="B97" s="9"/>
      <c r="C97" s="9">
        <v>3636</v>
      </c>
      <c r="D97" s="9">
        <v>5171</v>
      </c>
      <c r="E97" s="9"/>
      <c r="F97" s="13" t="s">
        <v>65</v>
      </c>
      <c r="G97" s="13"/>
      <c r="H97" s="87">
        <f>150000+80000</f>
        <v>230000</v>
      </c>
      <c r="K97" s="89">
        <f t="shared" si="58"/>
        <v>230000</v>
      </c>
      <c r="M97" s="14">
        <f t="shared" si="44"/>
        <v>0</v>
      </c>
      <c r="R97" s="89">
        <f t="shared" si="59"/>
        <v>230000</v>
      </c>
      <c r="S97" s="90">
        <v>24175.8</v>
      </c>
      <c r="T97" s="14">
        <f t="shared" si="45"/>
        <v>0.10511217391304348</v>
      </c>
      <c r="V97" s="89">
        <f t="shared" si="60"/>
        <v>230000</v>
      </c>
      <c r="W97" s="90">
        <v>24175.8</v>
      </c>
      <c r="X97" s="14">
        <f t="shared" si="43"/>
        <v>0.10511217391304348</v>
      </c>
      <c r="AB97" s="89">
        <f t="shared" si="61"/>
        <v>230000</v>
      </c>
      <c r="AC97" s="90">
        <v>24175.8</v>
      </c>
      <c r="AD97" s="14">
        <f t="shared" si="42"/>
        <v>0.10511217391304348</v>
      </c>
    </row>
    <row r="98" spans="1:30" x14ac:dyDescent="0.25">
      <c r="A98" s="7">
        <v>91</v>
      </c>
      <c r="B98" s="27"/>
      <c r="C98" s="9">
        <v>3636</v>
      </c>
      <c r="D98" s="9">
        <v>5169</v>
      </c>
      <c r="E98" s="9"/>
      <c r="F98" s="13" t="s">
        <v>66</v>
      </c>
      <c r="G98" s="13"/>
      <c r="H98" s="87">
        <v>50000</v>
      </c>
      <c r="K98" s="89">
        <f t="shared" si="58"/>
        <v>50000</v>
      </c>
      <c r="M98" s="14">
        <f t="shared" si="44"/>
        <v>0</v>
      </c>
      <c r="R98" s="89">
        <f t="shared" si="59"/>
        <v>50000</v>
      </c>
      <c r="T98" s="14">
        <f t="shared" si="45"/>
        <v>0</v>
      </c>
      <c r="V98" s="89">
        <f t="shared" si="60"/>
        <v>50000</v>
      </c>
      <c r="X98" s="14">
        <f t="shared" si="43"/>
        <v>0</v>
      </c>
      <c r="AB98" s="89">
        <f t="shared" si="61"/>
        <v>50000</v>
      </c>
      <c r="AD98" s="14">
        <f t="shared" si="42"/>
        <v>0</v>
      </c>
    </row>
    <row r="99" spans="1:30" x14ac:dyDescent="0.25">
      <c r="A99" s="7">
        <v>92</v>
      </c>
      <c r="B99" s="27"/>
      <c r="C99" s="9"/>
      <c r="D99" s="9"/>
      <c r="E99" s="9"/>
      <c r="F99" s="13"/>
      <c r="G99" s="13"/>
      <c r="M99" s="14">
        <f t="shared" si="44"/>
        <v>0</v>
      </c>
      <c r="T99" s="14">
        <f t="shared" si="45"/>
        <v>0</v>
      </c>
      <c r="X99" s="14">
        <f t="shared" si="43"/>
        <v>0</v>
      </c>
      <c r="AB99" s="89">
        <f t="shared" si="61"/>
        <v>0</v>
      </c>
      <c r="AD99" s="14">
        <f t="shared" si="42"/>
        <v>0</v>
      </c>
    </row>
    <row r="100" spans="1:30" x14ac:dyDescent="0.25">
      <c r="A100" s="7">
        <v>93</v>
      </c>
      <c r="B100" s="27"/>
      <c r="C100" s="9">
        <v>3636</v>
      </c>
      <c r="D100" s="9">
        <v>5169</v>
      </c>
      <c r="E100" s="9"/>
      <c r="F100" s="13" t="s">
        <v>305</v>
      </c>
      <c r="G100" s="13" t="s">
        <v>309</v>
      </c>
      <c r="H100" s="87">
        <v>50000</v>
      </c>
      <c r="K100" s="89">
        <f t="shared" si="58"/>
        <v>50000</v>
      </c>
      <c r="M100" s="14">
        <f t="shared" si="44"/>
        <v>0</v>
      </c>
      <c r="R100" s="89">
        <f t="shared" si="59"/>
        <v>50000</v>
      </c>
      <c r="S100" s="90">
        <v>0</v>
      </c>
      <c r="T100" s="14">
        <f t="shared" si="45"/>
        <v>0</v>
      </c>
      <c r="V100" s="89">
        <f t="shared" si="60"/>
        <v>50000</v>
      </c>
      <c r="W100" s="90">
        <v>0</v>
      </c>
      <c r="X100" s="14">
        <f t="shared" si="43"/>
        <v>0</v>
      </c>
      <c r="AB100" s="89">
        <f t="shared" si="61"/>
        <v>50000</v>
      </c>
      <c r="AC100" s="90">
        <v>0</v>
      </c>
      <c r="AD100" s="14">
        <f t="shared" si="42"/>
        <v>0</v>
      </c>
    </row>
    <row r="101" spans="1:30" x14ac:dyDescent="0.25">
      <c r="A101" s="7">
        <v>94</v>
      </c>
      <c r="B101" s="27"/>
      <c r="C101" s="9"/>
      <c r="D101" s="9"/>
      <c r="E101" s="9"/>
      <c r="F101" s="13"/>
      <c r="G101" s="13"/>
      <c r="M101" s="14">
        <f t="shared" si="44"/>
        <v>0</v>
      </c>
      <c r="T101" s="14">
        <f t="shared" si="45"/>
        <v>0</v>
      </c>
      <c r="X101" s="14">
        <f t="shared" si="43"/>
        <v>0</v>
      </c>
      <c r="AB101" s="89">
        <f t="shared" si="61"/>
        <v>0</v>
      </c>
      <c r="AD101" s="14">
        <f t="shared" si="42"/>
        <v>0</v>
      </c>
    </row>
    <row r="102" spans="1:30" x14ac:dyDescent="0.25">
      <c r="A102" s="7">
        <v>95</v>
      </c>
      <c r="B102" s="27"/>
      <c r="C102" s="9">
        <v>3639</v>
      </c>
      <c r="D102" s="9">
        <v>5011</v>
      </c>
      <c r="E102" s="9"/>
      <c r="F102" s="13" t="s">
        <v>67</v>
      </c>
      <c r="G102" s="13"/>
      <c r="H102" s="87">
        <v>631000</v>
      </c>
      <c r="K102" s="89">
        <f t="shared" si="58"/>
        <v>631000</v>
      </c>
      <c r="L102" s="90">
        <v>108600</v>
      </c>
      <c r="M102" s="14">
        <f t="shared" si="44"/>
        <v>0.17210776545166404</v>
      </c>
      <c r="R102" s="89">
        <f t="shared" si="59"/>
        <v>631000</v>
      </c>
      <c r="S102" s="90">
        <v>272718</v>
      </c>
      <c r="T102" s="14">
        <f t="shared" si="45"/>
        <v>0.43219968304278922</v>
      </c>
      <c r="V102" s="89">
        <f t="shared" si="60"/>
        <v>631000</v>
      </c>
      <c r="W102" s="90">
        <v>491891</v>
      </c>
      <c r="X102" s="14">
        <f t="shared" si="43"/>
        <v>0.77954199683042791</v>
      </c>
      <c r="Y102" s="88">
        <v>45000</v>
      </c>
      <c r="AB102" s="89">
        <f t="shared" si="61"/>
        <v>676000</v>
      </c>
      <c r="AC102" s="90">
        <f>773662-98488</f>
        <v>675174</v>
      </c>
      <c r="AD102" s="14">
        <f t="shared" si="42"/>
        <v>0.99877810650887577</v>
      </c>
    </row>
    <row r="103" spans="1:30" x14ac:dyDescent="0.25">
      <c r="A103" s="7">
        <v>96</v>
      </c>
      <c r="B103" s="27"/>
      <c r="C103" s="9">
        <v>3639</v>
      </c>
      <c r="D103" s="9">
        <v>5031</v>
      </c>
      <c r="E103" s="9"/>
      <c r="F103" s="13" t="s">
        <v>68</v>
      </c>
      <c r="G103" s="13"/>
      <c r="H103" s="87">
        <v>156500</v>
      </c>
      <c r="K103" s="89">
        <f t="shared" si="58"/>
        <v>156500</v>
      </c>
      <c r="L103" s="90">
        <v>26934</v>
      </c>
      <c r="M103" s="14">
        <f t="shared" si="44"/>
        <v>0.17210223642172523</v>
      </c>
      <c r="R103" s="89">
        <f t="shared" si="59"/>
        <v>156500</v>
      </c>
      <c r="S103" s="90">
        <v>67636</v>
      </c>
      <c r="T103" s="14">
        <f t="shared" si="45"/>
        <v>0.43217891373801914</v>
      </c>
      <c r="V103" s="89">
        <f t="shared" si="60"/>
        <v>156500</v>
      </c>
      <c r="W103" s="90">
        <v>121992</v>
      </c>
      <c r="X103" s="14">
        <f t="shared" si="43"/>
        <v>0.77950159744408942</v>
      </c>
      <c r="Y103" s="88">
        <v>10000</v>
      </c>
      <c r="AB103" s="89">
        <f t="shared" si="61"/>
        <v>166500</v>
      </c>
      <c r="AC103" s="90">
        <f>191873-24424</f>
        <v>167449</v>
      </c>
      <c r="AD103" s="14">
        <f t="shared" si="42"/>
        <v>1.0056996996996996</v>
      </c>
    </row>
    <row r="104" spans="1:30" x14ac:dyDescent="0.25">
      <c r="A104" s="7">
        <v>97</v>
      </c>
      <c r="B104" s="27"/>
      <c r="C104" s="9">
        <v>3639</v>
      </c>
      <c r="D104" s="9">
        <v>5032</v>
      </c>
      <c r="E104" s="9"/>
      <c r="F104" s="13" t="s">
        <v>69</v>
      </c>
      <c r="G104" s="13"/>
      <c r="H104" s="87">
        <v>56800</v>
      </c>
      <c r="K104" s="89">
        <f t="shared" si="58"/>
        <v>56800</v>
      </c>
      <c r="L104" s="90">
        <v>9774</v>
      </c>
      <c r="M104" s="14">
        <f t="shared" si="44"/>
        <v>0.1720774647887324</v>
      </c>
      <c r="R104" s="89">
        <f t="shared" si="59"/>
        <v>56800</v>
      </c>
      <c r="S104" s="90">
        <v>24544</v>
      </c>
      <c r="T104" s="14">
        <f t="shared" si="45"/>
        <v>0.43211267605633802</v>
      </c>
      <c r="V104" s="89">
        <f t="shared" si="60"/>
        <v>56800</v>
      </c>
      <c r="W104" s="90">
        <v>44270</v>
      </c>
      <c r="X104" s="14">
        <f t="shared" si="43"/>
        <v>0.77940140845070427</v>
      </c>
      <c r="Y104" s="88">
        <v>5000</v>
      </c>
      <c r="AB104" s="89">
        <f t="shared" si="61"/>
        <v>61800</v>
      </c>
      <c r="AC104" s="90">
        <f>69628-8863</f>
        <v>60765</v>
      </c>
      <c r="AD104" s="14">
        <f t="shared" si="42"/>
        <v>0.98325242718446604</v>
      </c>
    </row>
    <row r="105" spans="1:30" x14ac:dyDescent="0.25">
      <c r="A105" s="7">
        <v>98</v>
      </c>
      <c r="B105" s="27"/>
      <c r="C105" s="9">
        <v>3639</v>
      </c>
      <c r="D105" s="9">
        <v>5162</v>
      </c>
      <c r="E105" s="9"/>
      <c r="F105" s="13" t="s">
        <v>70</v>
      </c>
      <c r="G105" s="13"/>
      <c r="H105" s="87">
        <v>3000</v>
      </c>
      <c r="K105" s="89">
        <f t="shared" si="58"/>
        <v>3000</v>
      </c>
      <c r="M105" s="14">
        <f t="shared" si="44"/>
        <v>0</v>
      </c>
      <c r="R105" s="89">
        <f t="shared" si="59"/>
        <v>3000</v>
      </c>
      <c r="S105" s="90">
        <v>0</v>
      </c>
      <c r="T105" s="14">
        <f t="shared" si="45"/>
        <v>0</v>
      </c>
      <c r="V105" s="89">
        <f t="shared" si="60"/>
        <v>3000</v>
      </c>
      <c r="W105" s="90">
        <v>0</v>
      </c>
      <c r="X105" s="14">
        <f t="shared" si="43"/>
        <v>0</v>
      </c>
      <c r="AB105" s="89">
        <f t="shared" si="61"/>
        <v>3000</v>
      </c>
      <c r="AC105" s="90">
        <v>0</v>
      </c>
      <c r="AD105" s="14">
        <f t="shared" si="42"/>
        <v>0</v>
      </c>
    </row>
    <row r="106" spans="1:30" x14ac:dyDescent="0.25">
      <c r="A106" s="7">
        <v>99</v>
      </c>
      <c r="B106" s="27"/>
      <c r="C106" s="9">
        <v>3639</v>
      </c>
      <c r="D106" s="9">
        <v>5134</v>
      </c>
      <c r="E106" s="9"/>
      <c r="F106" s="13" t="s">
        <v>71</v>
      </c>
      <c r="G106" s="13"/>
      <c r="H106" s="87">
        <v>6000</v>
      </c>
      <c r="K106" s="89">
        <f t="shared" si="58"/>
        <v>6000</v>
      </c>
      <c r="M106" s="14">
        <f t="shared" si="44"/>
        <v>0</v>
      </c>
      <c r="R106" s="89">
        <f t="shared" si="59"/>
        <v>6000</v>
      </c>
      <c r="S106" s="90">
        <v>757</v>
      </c>
      <c r="T106" s="14">
        <f t="shared" si="45"/>
        <v>0.12616666666666668</v>
      </c>
      <c r="V106" s="89">
        <f t="shared" si="60"/>
        <v>6000</v>
      </c>
      <c r="W106" s="90">
        <v>757</v>
      </c>
      <c r="X106" s="14">
        <f t="shared" si="43"/>
        <v>0.12616666666666668</v>
      </c>
      <c r="AB106" s="89">
        <f t="shared" si="61"/>
        <v>6000</v>
      </c>
      <c r="AC106" s="90">
        <v>757</v>
      </c>
      <c r="AD106" s="14">
        <f t="shared" si="42"/>
        <v>0.12616666666666668</v>
      </c>
    </row>
    <row r="107" spans="1:30" x14ac:dyDescent="0.25">
      <c r="A107" s="7">
        <v>100</v>
      </c>
      <c r="B107" s="27"/>
      <c r="C107" s="9">
        <v>3639</v>
      </c>
      <c r="D107" s="9">
        <v>5132</v>
      </c>
      <c r="E107" s="9"/>
      <c r="F107" s="13" t="s">
        <v>72</v>
      </c>
      <c r="G107" s="13"/>
      <c r="H107" s="87">
        <v>6000</v>
      </c>
      <c r="K107" s="89">
        <f t="shared" si="58"/>
        <v>6000</v>
      </c>
      <c r="L107" s="90">
        <v>1441</v>
      </c>
      <c r="M107" s="14">
        <f t="shared" si="44"/>
        <v>0.24016666666666667</v>
      </c>
      <c r="R107" s="89">
        <f t="shared" si="59"/>
        <v>6000</v>
      </c>
      <c r="S107" s="90">
        <v>1441</v>
      </c>
      <c r="T107" s="14">
        <f t="shared" si="45"/>
        <v>0.24016666666666667</v>
      </c>
      <c r="V107" s="89">
        <f t="shared" si="60"/>
        <v>6000</v>
      </c>
      <c r="W107" s="90">
        <v>1441</v>
      </c>
      <c r="X107" s="14">
        <f t="shared" si="43"/>
        <v>0.24016666666666667</v>
      </c>
      <c r="AB107" s="89">
        <f t="shared" si="61"/>
        <v>6000</v>
      </c>
      <c r="AC107" s="90">
        <v>1441</v>
      </c>
      <c r="AD107" s="14">
        <f t="shared" si="42"/>
        <v>0.24016666666666667</v>
      </c>
    </row>
    <row r="108" spans="1:30" x14ac:dyDescent="0.25">
      <c r="A108" s="7">
        <v>101</v>
      </c>
      <c r="B108" s="27"/>
      <c r="C108" s="9">
        <v>3639</v>
      </c>
      <c r="D108" s="9">
        <v>5137</v>
      </c>
      <c r="E108" s="9"/>
      <c r="F108" s="13" t="s">
        <v>73</v>
      </c>
      <c r="G108" s="13"/>
      <c r="H108" s="87">
        <v>30000</v>
      </c>
      <c r="K108" s="89">
        <f t="shared" si="58"/>
        <v>30000</v>
      </c>
      <c r="M108" s="14">
        <f t="shared" si="44"/>
        <v>0</v>
      </c>
      <c r="R108" s="89">
        <f t="shared" si="59"/>
        <v>30000</v>
      </c>
      <c r="S108" s="90">
        <v>29990</v>
      </c>
      <c r="T108" s="14">
        <f t="shared" si="45"/>
        <v>0.9996666666666667</v>
      </c>
      <c r="V108" s="89">
        <f t="shared" si="60"/>
        <v>30000</v>
      </c>
      <c r="W108" s="90">
        <v>29990</v>
      </c>
      <c r="X108" s="14">
        <f t="shared" si="43"/>
        <v>0.9996666666666667</v>
      </c>
      <c r="Z108" s="88">
        <v>74000</v>
      </c>
      <c r="AB108" s="89">
        <f t="shared" si="61"/>
        <v>104000</v>
      </c>
      <c r="AC108" s="90">
        <v>85990</v>
      </c>
      <c r="AD108" s="14">
        <f t="shared" si="42"/>
        <v>0.82682692307692307</v>
      </c>
    </row>
    <row r="109" spans="1:30" x14ac:dyDescent="0.25">
      <c r="A109" s="7">
        <v>102</v>
      </c>
      <c r="B109" s="27"/>
      <c r="C109" s="9">
        <v>3639</v>
      </c>
      <c r="D109" s="9">
        <v>5173</v>
      </c>
      <c r="E109" s="9"/>
      <c r="F109" s="13" t="s">
        <v>74</v>
      </c>
      <c r="G109" s="13"/>
      <c r="H109" s="87">
        <v>5000</v>
      </c>
      <c r="K109" s="89">
        <f t="shared" si="58"/>
        <v>5000</v>
      </c>
      <c r="L109" s="90">
        <v>1024</v>
      </c>
      <c r="M109" s="14">
        <f t="shared" si="44"/>
        <v>0.20480000000000001</v>
      </c>
      <c r="R109" s="89">
        <f t="shared" si="59"/>
        <v>5000</v>
      </c>
      <c r="S109" s="90">
        <v>2475</v>
      </c>
      <c r="T109" s="14">
        <f t="shared" si="45"/>
        <v>0.495</v>
      </c>
      <c r="V109" s="89">
        <f t="shared" si="60"/>
        <v>5000</v>
      </c>
      <c r="W109" s="90">
        <v>3768</v>
      </c>
      <c r="X109" s="14">
        <f t="shared" si="43"/>
        <v>0.75360000000000005</v>
      </c>
      <c r="AB109" s="89">
        <f t="shared" si="61"/>
        <v>5000</v>
      </c>
      <c r="AC109" s="90">
        <v>5651</v>
      </c>
      <c r="AD109" s="14">
        <f t="shared" si="42"/>
        <v>1.1302000000000001</v>
      </c>
    </row>
    <row r="110" spans="1:30" x14ac:dyDescent="0.25">
      <c r="A110" s="7">
        <v>103</v>
      </c>
      <c r="B110" s="27"/>
      <c r="C110" s="9"/>
      <c r="D110" s="30" t="s">
        <v>75</v>
      </c>
      <c r="E110" s="9"/>
      <c r="F110" s="13"/>
      <c r="G110" s="13"/>
      <c r="H110" s="94">
        <f>SUM(H102:H109)</f>
        <v>894300</v>
      </c>
      <c r="I110" s="95">
        <f>SUM(I102:I109)</f>
        <v>0</v>
      </c>
      <c r="J110" s="95">
        <f>SUM(J102:J109)</f>
        <v>0</v>
      </c>
      <c r="K110" s="96">
        <f>SUM(K102:K109)</f>
        <v>894300</v>
      </c>
      <c r="L110" s="97">
        <f>SUM(L102:L109)</f>
        <v>147773</v>
      </c>
      <c r="M110" s="14">
        <f t="shared" si="44"/>
        <v>0.16523873420552387</v>
      </c>
      <c r="N110" s="95">
        <f t="shared" ref="N110:S110" si="62">SUM(N102:N109)</f>
        <v>0</v>
      </c>
      <c r="O110" s="95">
        <f t="shared" si="62"/>
        <v>0</v>
      </c>
      <c r="P110" s="95">
        <f t="shared" si="62"/>
        <v>0</v>
      </c>
      <c r="Q110" s="95">
        <f t="shared" si="62"/>
        <v>0</v>
      </c>
      <c r="R110" s="96">
        <f t="shared" si="62"/>
        <v>894300</v>
      </c>
      <c r="S110" s="97">
        <f t="shared" si="62"/>
        <v>399561</v>
      </c>
      <c r="T110" s="14">
        <f t="shared" si="45"/>
        <v>0.44678631331767865</v>
      </c>
      <c r="U110" s="95">
        <f t="shared" ref="U110" si="63">SUM(U102:U109)</f>
        <v>0</v>
      </c>
      <c r="V110" s="96">
        <f t="shared" ref="V110" si="64">SUM(V102:V109)</f>
        <v>894300</v>
      </c>
      <c r="W110" s="97">
        <f t="shared" ref="W110" si="65">SUM(W102:W109)</f>
        <v>694109</v>
      </c>
      <c r="X110" s="14">
        <f t="shared" si="43"/>
        <v>0.77614782511461478</v>
      </c>
      <c r="Y110" s="95">
        <f t="shared" ref="Y110:AC110" si="66">SUM(Y102:Y109)</f>
        <v>60000</v>
      </c>
      <c r="Z110" s="95">
        <f t="shared" si="66"/>
        <v>74000</v>
      </c>
      <c r="AA110" s="95">
        <f t="shared" si="66"/>
        <v>0</v>
      </c>
      <c r="AB110" s="96">
        <f t="shared" si="66"/>
        <v>1028300</v>
      </c>
      <c r="AC110" s="97">
        <f t="shared" si="66"/>
        <v>997227</v>
      </c>
      <c r="AD110" s="14">
        <f t="shared" si="42"/>
        <v>0.9697821647379169</v>
      </c>
    </row>
    <row r="111" spans="1:30" ht="13.8" thickBot="1" x14ac:dyDescent="0.3">
      <c r="A111" s="7">
        <v>104</v>
      </c>
      <c r="B111" s="9"/>
      <c r="C111" s="16" t="s">
        <v>76</v>
      </c>
      <c r="D111" s="16"/>
      <c r="E111" s="16"/>
      <c r="F111" s="17"/>
      <c r="G111" s="17"/>
      <c r="H111" s="69">
        <f>SUM(H93:H98)+SUM(H102:H109)+H100</f>
        <v>1834300</v>
      </c>
      <c r="I111" s="81">
        <f>SUM(I93:I98)+SUM(I102:I109)+I100</f>
        <v>0</v>
      </c>
      <c r="J111" s="81">
        <f>SUM(J93:J98)+SUM(J102:J109)+J100</f>
        <v>0</v>
      </c>
      <c r="K111" s="52">
        <f>SUM(K93:K98)+SUM(K102:K109)+K100</f>
        <v>1834300</v>
      </c>
      <c r="L111" s="105">
        <f>SUM(L93:L98)+SUM(L102:L109)+L100</f>
        <v>191358.32</v>
      </c>
      <c r="M111" s="14">
        <f t="shared" si="44"/>
        <v>0.10432225917243636</v>
      </c>
      <c r="N111" s="81">
        <f t="shared" ref="N111:S111" si="67">SUM(N93:N98)+SUM(N102:N109)+N100</f>
        <v>0</v>
      </c>
      <c r="O111" s="81">
        <f t="shared" si="67"/>
        <v>0</v>
      </c>
      <c r="P111" s="81">
        <f t="shared" si="67"/>
        <v>0</v>
      </c>
      <c r="Q111" s="81">
        <f t="shared" si="67"/>
        <v>0</v>
      </c>
      <c r="R111" s="52">
        <f t="shared" si="67"/>
        <v>1834300</v>
      </c>
      <c r="S111" s="105">
        <f t="shared" si="67"/>
        <v>521856.42</v>
      </c>
      <c r="T111" s="112">
        <f t="shared" si="45"/>
        <v>0.28449894782750912</v>
      </c>
      <c r="U111" s="81">
        <f t="shared" ref="U111:W111" si="68">SUM(U93:U98)+SUM(U102:U109)+U100</f>
        <v>0</v>
      </c>
      <c r="V111" s="52">
        <f t="shared" si="68"/>
        <v>1834300</v>
      </c>
      <c r="W111" s="105">
        <f t="shared" si="68"/>
        <v>936560.48</v>
      </c>
      <c r="X111" s="112">
        <f t="shared" si="43"/>
        <v>0.510581954969198</v>
      </c>
      <c r="Y111" s="81">
        <f t="shared" ref="Y111:AC111" si="69">SUM(Y93:Y98)+SUM(Y102:Y109)+Y100</f>
        <v>60000</v>
      </c>
      <c r="Z111" s="81">
        <f t="shared" si="69"/>
        <v>74000</v>
      </c>
      <c r="AA111" s="81">
        <f t="shared" si="69"/>
        <v>0</v>
      </c>
      <c r="AB111" s="52">
        <f t="shared" si="69"/>
        <v>1968300</v>
      </c>
      <c r="AC111" s="105">
        <f t="shared" si="69"/>
        <v>1218957.19</v>
      </c>
      <c r="AD111" s="112">
        <f t="shared" si="42"/>
        <v>0.61929441142102315</v>
      </c>
    </row>
    <row r="112" spans="1:30" ht="13.8" thickTop="1" x14ac:dyDescent="0.25">
      <c r="A112" s="7">
        <v>105</v>
      </c>
      <c r="B112" s="9"/>
      <c r="C112" s="9"/>
      <c r="D112" s="9"/>
      <c r="E112" s="9"/>
      <c r="F112" s="13"/>
      <c r="G112" s="13"/>
      <c r="M112" s="14">
        <f t="shared" si="44"/>
        <v>0</v>
      </c>
      <c r="T112" s="14">
        <f t="shared" si="45"/>
        <v>0</v>
      </c>
      <c r="X112" s="14">
        <f t="shared" si="43"/>
        <v>0</v>
      </c>
      <c r="AD112" s="14">
        <f t="shared" si="42"/>
        <v>0</v>
      </c>
    </row>
    <row r="113" spans="1:30" x14ac:dyDescent="0.25">
      <c r="A113" s="7">
        <v>106</v>
      </c>
      <c r="B113" s="9" t="s">
        <v>77</v>
      </c>
      <c r="C113" s="9"/>
      <c r="D113" s="9"/>
      <c r="E113" s="9"/>
      <c r="F113" s="13"/>
      <c r="G113" s="13"/>
      <c r="M113" s="14">
        <f t="shared" si="44"/>
        <v>0</v>
      </c>
      <c r="T113" s="14">
        <f t="shared" si="45"/>
        <v>0</v>
      </c>
      <c r="X113" s="14">
        <f t="shared" si="43"/>
        <v>0</v>
      </c>
      <c r="AD113" s="14">
        <f t="shared" si="42"/>
        <v>0</v>
      </c>
    </row>
    <row r="114" spans="1:30" x14ac:dyDescent="0.25">
      <c r="A114" s="7">
        <v>107</v>
      </c>
      <c r="B114" s="9"/>
      <c r="C114" s="9">
        <v>2321</v>
      </c>
      <c r="D114" s="9">
        <v>5171</v>
      </c>
      <c r="E114" s="9"/>
      <c r="F114" s="13" t="s">
        <v>78</v>
      </c>
      <c r="G114" s="13"/>
      <c r="M114" s="14">
        <f t="shared" si="44"/>
        <v>0</v>
      </c>
      <c r="T114" s="14">
        <f t="shared" si="45"/>
        <v>0</v>
      </c>
      <c r="X114" s="14">
        <f t="shared" si="43"/>
        <v>0</v>
      </c>
      <c r="AD114" s="14">
        <f t="shared" si="42"/>
        <v>0</v>
      </c>
    </row>
    <row r="115" spans="1:30" x14ac:dyDescent="0.25">
      <c r="A115" s="7">
        <v>108</v>
      </c>
      <c r="B115" s="9"/>
      <c r="C115" s="9">
        <v>2321</v>
      </c>
      <c r="D115" s="9">
        <v>5169</v>
      </c>
      <c r="E115" s="9"/>
      <c r="F115" s="13" t="s">
        <v>79</v>
      </c>
      <c r="G115" s="13"/>
      <c r="H115" s="87">
        <v>60000</v>
      </c>
      <c r="K115" s="89">
        <f t="shared" ref="K115:K128" si="70">H115+I115+J115</f>
        <v>60000</v>
      </c>
      <c r="M115" s="14">
        <f t="shared" si="44"/>
        <v>0</v>
      </c>
      <c r="R115" s="89">
        <f t="shared" ref="R115:R117" si="71">H115+I115+J115+N115+O115+P115+Q115</f>
        <v>60000</v>
      </c>
      <c r="T115" s="14">
        <f t="shared" si="45"/>
        <v>0</v>
      </c>
      <c r="V115" s="89">
        <f t="shared" ref="V115:V139" si="72">H115+I115+J115+N115+O115+P115+Q115+U115</f>
        <v>60000</v>
      </c>
      <c r="W115" s="90">
        <v>19741</v>
      </c>
      <c r="X115" s="14">
        <f t="shared" si="43"/>
        <v>0.32901666666666668</v>
      </c>
      <c r="AB115" s="89">
        <f t="shared" ref="AB115:AB139" si="73">H115+I115+J115+N115+O115+P115+Q115+U115+Y115+Z115+AA115</f>
        <v>60000</v>
      </c>
      <c r="AC115" s="90">
        <v>28852</v>
      </c>
      <c r="AD115" s="14">
        <f t="shared" si="42"/>
        <v>0.48086666666666666</v>
      </c>
    </row>
    <row r="116" spans="1:30" x14ac:dyDescent="0.25">
      <c r="A116" s="7">
        <v>109</v>
      </c>
      <c r="B116" s="9"/>
      <c r="C116" s="9">
        <v>2321</v>
      </c>
      <c r="D116" s="9">
        <v>5499</v>
      </c>
      <c r="E116" s="9"/>
      <c r="F116" s="13" t="s">
        <v>80</v>
      </c>
      <c r="G116" s="13"/>
      <c r="H116" s="87">
        <v>60000</v>
      </c>
      <c r="K116" s="89">
        <f t="shared" si="70"/>
        <v>60000</v>
      </c>
      <c r="M116" s="14">
        <f t="shared" si="44"/>
        <v>0</v>
      </c>
      <c r="R116" s="89">
        <f t="shared" si="71"/>
        <v>60000</v>
      </c>
      <c r="T116" s="14">
        <f t="shared" si="45"/>
        <v>0</v>
      </c>
      <c r="V116" s="89">
        <f t="shared" si="72"/>
        <v>60000</v>
      </c>
      <c r="X116" s="14">
        <f t="shared" si="43"/>
        <v>0</v>
      </c>
      <c r="AB116" s="89">
        <f t="shared" si="73"/>
        <v>60000</v>
      </c>
      <c r="AD116" s="14">
        <f t="shared" si="42"/>
        <v>0</v>
      </c>
    </row>
    <row r="117" spans="1:30" x14ac:dyDescent="0.25">
      <c r="A117" s="7">
        <v>110</v>
      </c>
      <c r="B117" s="9"/>
      <c r="C117" s="9">
        <v>3722</v>
      </c>
      <c r="D117" s="9">
        <v>5021</v>
      </c>
      <c r="E117" s="9"/>
      <c r="F117" s="13" t="s">
        <v>81</v>
      </c>
      <c r="G117" s="13"/>
      <c r="H117" s="87">
        <v>150000</v>
      </c>
      <c r="K117" s="89">
        <f t="shared" si="70"/>
        <v>150000</v>
      </c>
      <c r="L117" s="90">
        <f>26330+13530</f>
        <v>39860</v>
      </c>
      <c r="M117" s="14">
        <f t="shared" si="44"/>
        <v>0.26573333333333332</v>
      </c>
      <c r="R117" s="89">
        <f t="shared" si="71"/>
        <v>150000</v>
      </c>
      <c r="S117" s="90">
        <v>78509</v>
      </c>
      <c r="T117" s="14">
        <f t="shared" si="45"/>
        <v>0.52339333333333338</v>
      </c>
      <c r="V117" s="89">
        <f t="shared" si="72"/>
        <v>150000</v>
      </c>
      <c r="W117" s="90">
        <v>91959</v>
      </c>
      <c r="X117" s="14">
        <f t="shared" si="43"/>
        <v>0.61306000000000005</v>
      </c>
      <c r="AB117" s="89">
        <f t="shared" si="73"/>
        <v>150000</v>
      </c>
      <c r="AC117" s="90">
        <v>109959</v>
      </c>
      <c r="AD117" s="14">
        <f t="shared" si="42"/>
        <v>0.73306000000000004</v>
      </c>
    </row>
    <row r="118" spans="1:30" x14ac:dyDescent="0.25">
      <c r="A118" s="7">
        <v>111</v>
      </c>
      <c r="B118" s="9"/>
      <c r="C118" s="9">
        <v>3722</v>
      </c>
      <c r="D118" s="9">
        <v>5031</v>
      </c>
      <c r="E118" s="9"/>
      <c r="F118" s="13" t="s">
        <v>340</v>
      </c>
      <c r="G118" s="13"/>
      <c r="L118" s="90">
        <v>9048</v>
      </c>
      <c r="M118" s="14">
        <f t="shared" si="44"/>
        <v>0</v>
      </c>
      <c r="S118" s="90">
        <v>13810</v>
      </c>
      <c r="T118" s="14">
        <f t="shared" si="45"/>
        <v>0</v>
      </c>
      <c r="V118" s="89">
        <f t="shared" si="72"/>
        <v>0</v>
      </c>
      <c r="W118" s="90">
        <v>13810</v>
      </c>
      <c r="X118" s="14">
        <f t="shared" si="43"/>
        <v>0</v>
      </c>
      <c r="AB118" s="89">
        <f t="shared" si="73"/>
        <v>0</v>
      </c>
      <c r="AC118" s="90">
        <v>13810</v>
      </c>
      <c r="AD118" s="14">
        <f t="shared" si="42"/>
        <v>0</v>
      </c>
    </row>
    <row r="119" spans="1:30" x14ac:dyDescent="0.25">
      <c r="A119" s="7">
        <v>112</v>
      </c>
      <c r="B119" s="9"/>
      <c r="C119" s="9">
        <v>3722</v>
      </c>
      <c r="D119" s="9">
        <v>5032</v>
      </c>
      <c r="E119" s="9"/>
      <c r="F119" s="13" t="s">
        <v>341</v>
      </c>
      <c r="G119" s="13"/>
      <c r="L119" s="90">
        <v>6105</v>
      </c>
      <c r="M119" s="14">
        <f t="shared" si="44"/>
        <v>0</v>
      </c>
      <c r="S119" s="90">
        <v>7833</v>
      </c>
      <c r="T119" s="14">
        <f t="shared" si="45"/>
        <v>0</v>
      </c>
      <c r="V119" s="89">
        <f t="shared" si="72"/>
        <v>0</v>
      </c>
      <c r="W119" s="90">
        <v>7833</v>
      </c>
      <c r="X119" s="14">
        <f t="shared" si="43"/>
        <v>0</v>
      </c>
      <c r="AB119" s="89">
        <f t="shared" si="73"/>
        <v>0</v>
      </c>
      <c r="AC119" s="90">
        <v>7833</v>
      </c>
      <c r="AD119" s="14">
        <f t="shared" si="42"/>
        <v>0</v>
      </c>
    </row>
    <row r="120" spans="1:30" x14ac:dyDescent="0.25">
      <c r="A120" s="7">
        <v>113</v>
      </c>
      <c r="B120" s="9"/>
      <c r="C120" s="9">
        <v>3722</v>
      </c>
      <c r="D120" s="9">
        <v>5137</v>
      </c>
      <c r="E120" s="9"/>
      <c r="F120" s="13" t="s">
        <v>82</v>
      </c>
      <c r="G120" s="13"/>
      <c r="H120" s="87">
        <v>100000</v>
      </c>
      <c r="K120" s="89">
        <f t="shared" si="70"/>
        <v>100000</v>
      </c>
      <c r="L120" s="90">
        <v>32954</v>
      </c>
      <c r="M120" s="14">
        <f t="shared" si="44"/>
        <v>0.32954</v>
      </c>
      <c r="R120" s="89">
        <f t="shared" ref="R120:R139" si="74">H120+I120+J120+N120+O120+P120+Q120</f>
        <v>100000</v>
      </c>
      <c r="S120" s="90">
        <v>40844</v>
      </c>
      <c r="T120" s="14">
        <f t="shared" si="45"/>
        <v>0.40844000000000003</v>
      </c>
      <c r="V120" s="89">
        <f t="shared" si="72"/>
        <v>100000</v>
      </c>
      <c r="W120" s="90">
        <v>40844</v>
      </c>
      <c r="X120" s="14">
        <f t="shared" si="43"/>
        <v>0.40844000000000003</v>
      </c>
      <c r="AB120" s="89">
        <f t="shared" si="73"/>
        <v>100000</v>
      </c>
      <c r="AC120" s="90">
        <v>81434</v>
      </c>
      <c r="AD120" s="14">
        <f t="shared" si="42"/>
        <v>0.81433999999999995</v>
      </c>
    </row>
    <row r="121" spans="1:30" x14ac:dyDescent="0.25">
      <c r="A121" s="7">
        <v>114</v>
      </c>
      <c r="B121" s="9"/>
      <c r="C121" s="9">
        <v>3722</v>
      </c>
      <c r="D121" s="9">
        <v>5139</v>
      </c>
      <c r="E121" s="9"/>
      <c r="F121" s="13" t="s">
        <v>83</v>
      </c>
      <c r="G121" s="13"/>
      <c r="H121" s="87">
        <v>25000</v>
      </c>
      <c r="K121" s="89">
        <f t="shared" si="70"/>
        <v>25000</v>
      </c>
      <c r="L121" s="90">
        <v>869</v>
      </c>
      <c r="M121" s="14">
        <f t="shared" si="44"/>
        <v>3.4759999999999999E-2</v>
      </c>
      <c r="R121" s="89">
        <f t="shared" si="74"/>
        <v>25000</v>
      </c>
      <c r="S121" s="90">
        <v>7952</v>
      </c>
      <c r="T121" s="14">
        <f t="shared" si="45"/>
        <v>0.31807999999999997</v>
      </c>
      <c r="V121" s="89">
        <f t="shared" si="72"/>
        <v>25000</v>
      </c>
      <c r="W121" s="90">
        <v>15504</v>
      </c>
      <c r="X121" s="14">
        <f t="shared" si="43"/>
        <v>0.62016000000000004</v>
      </c>
      <c r="AB121" s="89">
        <f t="shared" si="73"/>
        <v>25000</v>
      </c>
      <c r="AC121" s="90">
        <v>15504</v>
      </c>
      <c r="AD121" s="14">
        <f t="shared" si="42"/>
        <v>0.62016000000000004</v>
      </c>
    </row>
    <row r="122" spans="1:30" x14ac:dyDescent="0.25">
      <c r="A122" s="7">
        <v>115</v>
      </c>
      <c r="B122" s="9"/>
      <c r="C122" s="9">
        <v>3722</v>
      </c>
      <c r="D122" s="9">
        <v>5169</v>
      </c>
      <c r="E122" s="9"/>
      <c r="F122" s="13" t="s">
        <v>84</v>
      </c>
      <c r="G122" s="31" t="s">
        <v>15</v>
      </c>
      <c r="H122" s="87">
        <v>100000</v>
      </c>
      <c r="K122" s="89">
        <f t="shared" si="70"/>
        <v>100000</v>
      </c>
      <c r="M122" s="14">
        <f t="shared" si="44"/>
        <v>0</v>
      </c>
      <c r="R122" s="89">
        <f t="shared" si="74"/>
        <v>100000</v>
      </c>
      <c r="S122" s="90">
        <v>0</v>
      </c>
      <c r="T122" s="14">
        <f t="shared" si="45"/>
        <v>0</v>
      </c>
      <c r="V122" s="89">
        <f t="shared" si="72"/>
        <v>100000</v>
      </c>
      <c r="W122" s="90">
        <v>0</v>
      </c>
      <c r="X122" s="14">
        <f t="shared" si="43"/>
        <v>0</v>
      </c>
      <c r="AB122" s="89">
        <f t="shared" si="73"/>
        <v>100000</v>
      </c>
      <c r="AC122" s="90">
        <v>53022.2</v>
      </c>
      <c r="AD122" s="14">
        <f t="shared" si="42"/>
        <v>0.53022199999999997</v>
      </c>
    </row>
    <row r="123" spans="1:30" x14ac:dyDescent="0.25">
      <c r="A123" s="7">
        <v>116</v>
      </c>
      <c r="B123" s="9"/>
      <c r="C123" s="9">
        <v>3722</v>
      </c>
      <c r="D123" s="9">
        <v>5169</v>
      </c>
      <c r="E123" s="9"/>
      <c r="F123" s="13" t="s">
        <v>85</v>
      </c>
      <c r="G123" s="31" t="s">
        <v>15</v>
      </c>
      <c r="H123" s="87">
        <f>-120000+780000+10000</f>
        <v>670000</v>
      </c>
      <c r="K123" s="89">
        <f t="shared" si="70"/>
        <v>670000</v>
      </c>
      <c r="L123" s="90">
        <v>84555.39</v>
      </c>
      <c r="M123" s="14">
        <f t="shared" si="44"/>
        <v>0.12620207462686567</v>
      </c>
      <c r="R123" s="89">
        <f t="shared" si="74"/>
        <v>670000</v>
      </c>
      <c r="S123" s="90">
        <v>280755.53000000003</v>
      </c>
      <c r="T123" s="14">
        <f t="shared" si="45"/>
        <v>0.41903810447761197</v>
      </c>
      <c r="V123" s="89">
        <f t="shared" si="72"/>
        <v>670000</v>
      </c>
      <c r="W123" s="90">
        <v>372692.72</v>
      </c>
      <c r="X123" s="14">
        <f t="shared" si="43"/>
        <v>0.55625779104477613</v>
      </c>
      <c r="Z123" s="88">
        <v>40000</v>
      </c>
      <c r="AB123" s="89">
        <f t="shared" si="73"/>
        <v>710000</v>
      </c>
      <c r="AC123" s="90">
        <f>550454.76</f>
        <v>550454.76</v>
      </c>
      <c r="AD123" s="14">
        <f t="shared" si="42"/>
        <v>0.77528839436619723</v>
      </c>
    </row>
    <row r="124" spans="1:30" x14ac:dyDescent="0.25">
      <c r="A124" s="7">
        <v>117</v>
      </c>
      <c r="B124" s="9"/>
      <c r="C124" s="9">
        <v>3722</v>
      </c>
      <c r="D124" s="9">
        <v>5171</v>
      </c>
      <c r="E124" s="9"/>
      <c r="F124" s="13" t="s">
        <v>86</v>
      </c>
      <c r="G124" s="13"/>
      <c r="H124" s="87">
        <v>50000</v>
      </c>
      <c r="K124" s="89">
        <f t="shared" si="70"/>
        <v>50000</v>
      </c>
      <c r="M124" s="14">
        <f t="shared" si="44"/>
        <v>0</v>
      </c>
      <c r="R124" s="89">
        <f t="shared" si="74"/>
        <v>50000</v>
      </c>
      <c r="S124" s="90">
        <v>9000</v>
      </c>
      <c r="T124" s="14">
        <f t="shared" si="45"/>
        <v>0.18</v>
      </c>
      <c r="V124" s="89">
        <f t="shared" si="72"/>
        <v>50000</v>
      </c>
      <c r="W124" s="90">
        <v>9000</v>
      </c>
      <c r="X124" s="14">
        <f t="shared" si="43"/>
        <v>0.18</v>
      </c>
      <c r="AB124" s="89">
        <f t="shared" si="73"/>
        <v>50000</v>
      </c>
      <c r="AC124" s="90">
        <v>9000</v>
      </c>
      <c r="AD124" s="14">
        <f t="shared" si="42"/>
        <v>0.18</v>
      </c>
    </row>
    <row r="125" spans="1:30" x14ac:dyDescent="0.25">
      <c r="A125" s="7">
        <v>118</v>
      </c>
      <c r="B125" s="9"/>
      <c r="C125" s="9">
        <v>3722</v>
      </c>
      <c r="D125" s="9">
        <v>5499</v>
      </c>
      <c r="E125" s="9"/>
      <c r="F125" s="13" t="s">
        <v>87</v>
      </c>
      <c r="G125" s="31" t="s">
        <v>15</v>
      </c>
      <c r="H125" s="87">
        <v>1400000</v>
      </c>
      <c r="K125" s="89">
        <f t="shared" si="70"/>
        <v>1400000</v>
      </c>
      <c r="M125" s="14">
        <f t="shared" si="44"/>
        <v>0</v>
      </c>
      <c r="R125" s="89">
        <f t="shared" si="74"/>
        <v>1400000</v>
      </c>
      <c r="S125" s="90">
        <v>474450</v>
      </c>
      <c r="T125" s="14">
        <f t="shared" si="45"/>
        <v>0.33889285714285716</v>
      </c>
      <c r="V125" s="89">
        <f t="shared" si="72"/>
        <v>1400000</v>
      </c>
      <c r="W125" s="90">
        <v>474450</v>
      </c>
      <c r="X125" s="14">
        <f t="shared" si="43"/>
        <v>0.33889285714285716</v>
      </c>
      <c r="Y125" s="88">
        <v>43000</v>
      </c>
      <c r="AB125" s="89">
        <f t="shared" si="73"/>
        <v>1443000</v>
      </c>
      <c r="AC125" s="90">
        <v>1442579</v>
      </c>
      <c r="AD125" s="14">
        <f t="shared" si="42"/>
        <v>0.99970824670824676</v>
      </c>
    </row>
    <row r="126" spans="1:30" x14ac:dyDescent="0.25">
      <c r="A126" s="7">
        <v>119</v>
      </c>
      <c r="B126" s="9"/>
      <c r="C126" s="9">
        <v>3753</v>
      </c>
      <c r="D126" s="9">
        <v>5169</v>
      </c>
      <c r="E126" s="9"/>
      <c r="F126" s="13" t="s">
        <v>88</v>
      </c>
      <c r="G126" s="31" t="s">
        <v>15</v>
      </c>
      <c r="H126" s="87">
        <v>200000</v>
      </c>
      <c r="K126" s="89">
        <f t="shared" si="70"/>
        <v>200000</v>
      </c>
      <c r="M126" s="14">
        <f t="shared" si="44"/>
        <v>0</v>
      </c>
      <c r="R126" s="89">
        <f t="shared" si="74"/>
        <v>200000</v>
      </c>
      <c r="S126" s="90">
        <v>0</v>
      </c>
      <c r="T126" s="14">
        <f t="shared" si="45"/>
        <v>0</v>
      </c>
      <c r="V126" s="89">
        <f t="shared" si="72"/>
        <v>200000</v>
      </c>
      <c r="W126" s="90">
        <v>0</v>
      </c>
      <c r="X126" s="14">
        <f t="shared" si="43"/>
        <v>0</v>
      </c>
      <c r="AB126" s="89">
        <f t="shared" si="73"/>
        <v>200000</v>
      </c>
      <c r="AC126" s="90">
        <v>231110</v>
      </c>
      <c r="AD126" s="14">
        <f t="shared" si="42"/>
        <v>1.1555500000000001</v>
      </c>
    </row>
    <row r="127" spans="1:30" x14ac:dyDescent="0.25">
      <c r="A127" s="7">
        <v>120</v>
      </c>
      <c r="B127" s="9"/>
      <c r="C127" s="9"/>
      <c r="D127" s="13" t="s">
        <v>89</v>
      </c>
      <c r="E127" s="13"/>
      <c r="F127" s="9"/>
      <c r="G127" s="9"/>
      <c r="M127" s="14">
        <f t="shared" si="44"/>
        <v>0</v>
      </c>
      <c r="R127" s="89">
        <f t="shared" si="74"/>
        <v>0</v>
      </c>
      <c r="T127" s="14">
        <f t="shared" si="45"/>
        <v>0</v>
      </c>
      <c r="X127" s="14">
        <f t="shared" si="43"/>
        <v>0</v>
      </c>
      <c r="AB127" s="89">
        <f t="shared" si="73"/>
        <v>0</v>
      </c>
      <c r="AD127" s="14">
        <f t="shared" si="42"/>
        <v>0</v>
      </c>
    </row>
    <row r="128" spans="1:30" x14ac:dyDescent="0.25">
      <c r="A128" s="7">
        <v>121</v>
      </c>
      <c r="B128" s="9"/>
      <c r="C128" s="9">
        <v>3745</v>
      </c>
      <c r="D128" s="9">
        <v>5021</v>
      </c>
      <c r="E128" s="13"/>
      <c r="F128" s="13" t="s">
        <v>81</v>
      </c>
      <c r="G128" s="13"/>
      <c r="H128" s="87">
        <v>150000</v>
      </c>
      <c r="K128" s="89">
        <f t="shared" si="70"/>
        <v>150000</v>
      </c>
      <c r="L128" s="90">
        <v>0</v>
      </c>
      <c r="M128" s="14">
        <f t="shared" si="44"/>
        <v>0</v>
      </c>
      <c r="R128" s="89">
        <f t="shared" si="74"/>
        <v>150000</v>
      </c>
      <c r="S128" s="90">
        <v>34241</v>
      </c>
      <c r="T128" s="14">
        <f t="shared" si="45"/>
        <v>0.22827333333333333</v>
      </c>
      <c r="V128" s="89">
        <f t="shared" si="72"/>
        <v>150000</v>
      </c>
      <c r="W128" s="90">
        <v>84721</v>
      </c>
      <c r="X128" s="14">
        <f t="shared" si="43"/>
        <v>0.56480666666666668</v>
      </c>
      <c r="AB128" s="89">
        <f t="shared" si="73"/>
        <v>150000</v>
      </c>
      <c r="AC128" s="90">
        <v>183325</v>
      </c>
      <c r="AD128" s="14">
        <f t="shared" si="42"/>
        <v>1.2221666666666666</v>
      </c>
    </row>
    <row r="129" spans="1:30" x14ac:dyDescent="0.25">
      <c r="A129" s="7">
        <v>122</v>
      </c>
      <c r="B129" s="9"/>
      <c r="C129" s="9">
        <v>3745</v>
      </c>
      <c r="D129" s="9">
        <v>5031</v>
      </c>
      <c r="E129" s="13"/>
      <c r="F129" s="13" t="s">
        <v>90</v>
      </c>
      <c r="G129" s="13"/>
      <c r="M129" s="14">
        <f t="shared" si="44"/>
        <v>0</v>
      </c>
      <c r="R129" s="89">
        <f t="shared" si="74"/>
        <v>0</v>
      </c>
      <c r="T129" s="14">
        <f t="shared" si="45"/>
        <v>0</v>
      </c>
      <c r="V129" s="89">
        <f t="shared" si="72"/>
        <v>0</v>
      </c>
      <c r="X129" s="14">
        <f t="shared" si="43"/>
        <v>0</v>
      </c>
      <c r="AB129" s="89">
        <f t="shared" si="73"/>
        <v>0</v>
      </c>
      <c r="AC129" s="90">
        <v>14732</v>
      </c>
      <c r="AD129" s="14">
        <f t="shared" si="42"/>
        <v>0</v>
      </c>
    </row>
    <row r="130" spans="1:30" x14ac:dyDescent="0.25">
      <c r="A130" s="7">
        <v>123</v>
      </c>
      <c r="B130" s="9"/>
      <c r="C130" s="9">
        <v>3745</v>
      </c>
      <c r="D130" s="9">
        <v>5031</v>
      </c>
      <c r="E130" s="13"/>
      <c r="F130" s="13" t="s">
        <v>91</v>
      </c>
      <c r="G130" s="13"/>
      <c r="M130" s="14">
        <f t="shared" si="44"/>
        <v>0</v>
      </c>
      <c r="R130" s="89">
        <f t="shared" si="74"/>
        <v>0</v>
      </c>
      <c r="T130" s="14">
        <f t="shared" si="45"/>
        <v>0</v>
      </c>
      <c r="V130" s="89">
        <f t="shared" si="72"/>
        <v>0</v>
      </c>
      <c r="X130" s="14">
        <f t="shared" si="43"/>
        <v>0</v>
      </c>
      <c r="AB130" s="89">
        <f t="shared" si="73"/>
        <v>0</v>
      </c>
      <c r="AC130" s="90">
        <v>5346</v>
      </c>
      <c r="AD130" s="14">
        <f t="shared" si="42"/>
        <v>0</v>
      </c>
    </row>
    <row r="131" spans="1:30" x14ac:dyDescent="0.25">
      <c r="A131" s="7">
        <v>124</v>
      </c>
      <c r="B131" s="9"/>
      <c r="C131" s="9">
        <v>3745</v>
      </c>
      <c r="D131" s="9">
        <v>5137</v>
      </c>
      <c r="E131" s="9"/>
      <c r="F131" s="13" t="s">
        <v>82</v>
      </c>
      <c r="G131" s="13"/>
      <c r="M131" s="14">
        <f t="shared" si="44"/>
        <v>0</v>
      </c>
      <c r="R131" s="89">
        <f t="shared" si="74"/>
        <v>0</v>
      </c>
      <c r="T131" s="14">
        <f t="shared" si="45"/>
        <v>0</v>
      </c>
      <c r="V131" s="89">
        <f t="shared" si="72"/>
        <v>0</v>
      </c>
      <c r="X131" s="14">
        <f t="shared" si="43"/>
        <v>0</v>
      </c>
      <c r="AD131" s="14">
        <f t="shared" si="42"/>
        <v>0</v>
      </c>
    </row>
    <row r="132" spans="1:30" x14ac:dyDescent="0.25">
      <c r="A132" s="7">
        <v>125</v>
      </c>
      <c r="B132" s="9"/>
      <c r="C132" s="9">
        <v>3745</v>
      </c>
      <c r="D132" s="9">
        <v>5139</v>
      </c>
      <c r="E132" s="9"/>
      <c r="F132" s="13" t="s">
        <v>83</v>
      </c>
      <c r="G132" s="13"/>
      <c r="H132" s="87">
        <v>5000</v>
      </c>
      <c r="K132" s="89">
        <f t="shared" ref="K132:K139" si="75">H132+I132+J132</f>
        <v>5000</v>
      </c>
      <c r="L132" s="90">
        <v>0</v>
      </c>
      <c r="M132" s="14">
        <f t="shared" si="44"/>
        <v>0</v>
      </c>
      <c r="R132" s="89">
        <f t="shared" si="74"/>
        <v>5000</v>
      </c>
      <c r="S132" s="90">
        <v>0</v>
      </c>
      <c r="T132" s="14">
        <f t="shared" si="45"/>
        <v>0</v>
      </c>
      <c r="V132" s="89">
        <f t="shared" si="72"/>
        <v>5000</v>
      </c>
      <c r="W132" s="90">
        <v>3529</v>
      </c>
      <c r="X132" s="14">
        <f t="shared" si="43"/>
        <v>0.70579999999999998</v>
      </c>
      <c r="AB132" s="89">
        <f t="shared" si="73"/>
        <v>5000</v>
      </c>
      <c r="AC132" s="90">
        <v>3529</v>
      </c>
      <c r="AD132" s="14">
        <f t="shared" si="42"/>
        <v>0.70579999999999998</v>
      </c>
    </row>
    <row r="133" spans="1:30" x14ac:dyDescent="0.25">
      <c r="A133" s="7">
        <v>126</v>
      </c>
      <c r="B133" s="9"/>
      <c r="C133" s="9">
        <v>3745</v>
      </c>
      <c r="D133" s="9">
        <v>5169</v>
      </c>
      <c r="E133" s="9"/>
      <c r="F133" s="13" t="s">
        <v>92</v>
      </c>
      <c r="G133" s="13"/>
      <c r="H133" s="87">
        <f>400000+200000+100000+970000</f>
        <v>1670000</v>
      </c>
      <c r="I133" s="88">
        <v>200000</v>
      </c>
      <c r="J133" s="88">
        <v>300000</v>
      </c>
      <c r="K133" s="89">
        <f t="shared" si="75"/>
        <v>2170000</v>
      </c>
      <c r="L133" s="90">
        <v>121817</v>
      </c>
      <c r="M133" s="14">
        <f t="shared" si="44"/>
        <v>5.6136866359447007E-2</v>
      </c>
      <c r="R133" s="89">
        <f t="shared" si="74"/>
        <v>2170000</v>
      </c>
      <c r="S133" s="90">
        <f>391958.5-S135</f>
        <v>309123.5</v>
      </c>
      <c r="T133" s="14">
        <f t="shared" si="45"/>
        <v>0.14245322580645162</v>
      </c>
      <c r="V133" s="89">
        <f t="shared" si="72"/>
        <v>2170000</v>
      </c>
      <c r="W133" s="90">
        <v>1072631.48</v>
      </c>
      <c r="X133" s="14">
        <f t="shared" si="43"/>
        <v>0.4943002211981567</v>
      </c>
      <c r="AB133" s="89">
        <f t="shared" si="73"/>
        <v>2170000</v>
      </c>
      <c r="AC133" s="90">
        <f>2215670.64-AC135-AC136-53022.2</f>
        <v>1740621.3200000003</v>
      </c>
      <c r="AD133" s="14">
        <f t="shared" si="42"/>
        <v>0.80212964055299552</v>
      </c>
    </row>
    <row r="134" spans="1:30" x14ac:dyDescent="0.25">
      <c r="A134" s="7">
        <v>127</v>
      </c>
      <c r="B134" s="9"/>
      <c r="C134" s="9">
        <v>3745</v>
      </c>
      <c r="D134" s="9">
        <v>5169</v>
      </c>
      <c r="E134" s="9"/>
      <c r="F134" s="13" t="s">
        <v>298</v>
      </c>
      <c r="G134" s="13" t="s">
        <v>309</v>
      </c>
      <c r="H134" s="87">
        <v>500000</v>
      </c>
      <c r="K134" s="89">
        <f t="shared" si="75"/>
        <v>500000</v>
      </c>
      <c r="M134" s="14">
        <f t="shared" si="44"/>
        <v>0</v>
      </c>
      <c r="R134" s="89">
        <f t="shared" si="74"/>
        <v>500000</v>
      </c>
      <c r="T134" s="14">
        <f t="shared" si="45"/>
        <v>0</v>
      </c>
      <c r="V134" s="89">
        <f t="shared" si="72"/>
        <v>500000</v>
      </c>
      <c r="W134" s="90">
        <v>0</v>
      </c>
      <c r="X134" s="14">
        <f t="shared" si="43"/>
        <v>0</v>
      </c>
      <c r="AB134" s="89">
        <f t="shared" si="73"/>
        <v>500000</v>
      </c>
      <c r="AC134" s="90">
        <v>0</v>
      </c>
      <c r="AD134" s="14">
        <f t="shared" si="42"/>
        <v>0</v>
      </c>
    </row>
    <row r="135" spans="1:30" ht="39" customHeight="1" x14ac:dyDescent="0.25">
      <c r="A135" s="7">
        <v>128</v>
      </c>
      <c r="B135" s="9"/>
      <c r="C135" s="9">
        <v>3745</v>
      </c>
      <c r="D135" s="9">
        <v>5169</v>
      </c>
      <c r="E135" s="9"/>
      <c r="F135" s="13" t="s">
        <v>93</v>
      </c>
      <c r="G135" s="13"/>
      <c r="H135" s="87">
        <v>100000</v>
      </c>
      <c r="K135" s="89">
        <f t="shared" si="75"/>
        <v>100000</v>
      </c>
      <c r="M135" s="14">
        <f t="shared" si="44"/>
        <v>0</v>
      </c>
      <c r="N135" s="88">
        <f>-100000+452400</f>
        <v>352400</v>
      </c>
      <c r="R135" s="89">
        <f t="shared" si="74"/>
        <v>452400</v>
      </c>
      <c r="S135" s="90">
        <v>82835</v>
      </c>
      <c r="T135" s="14">
        <f t="shared" si="45"/>
        <v>0.18310123784261714</v>
      </c>
      <c r="V135" s="89">
        <f t="shared" si="72"/>
        <v>452400</v>
      </c>
      <c r="W135" s="90">
        <v>96956.91</v>
      </c>
      <c r="X135" s="14">
        <f t="shared" si="43"/>
        <v>0.21431677718832892</v>
      </c>
      <c r="AB135" s="89">
        <f t="shared" si="73"/>
        <v>452400</v>
      </c>
      <c r="AC135" s="90">
        <v>353779.11</v>
      </c>
      <c r="AD135" s="14">
        <f t="shared" si="42"/>
        <v>0.78200510610079577</v>
      </c>
    </row>
    <row r="136" spans="1:30" x14ac:dyDescent="0.25">
      <c r="A136" s="7">
        <v>129</v>
      </c>
      <c r="B136" s="9"/>
      <c r="C136" s="9">
        <v>3745</v>
      </c>
      <c r="D136" s="9">
        <v>5169</v>
      </c>
      <c r="E136" s="9"/>
      <c r="F136" s="13" t="s">
        <v>355</v>
      </c>
      <c r="G136" s="13"/>
      <c r="M136" s="14"/>
      <c r="T136" s="14"/>
      <c r="U136" s="88">
        <v>95000</v>
      </c>
      <c r="V136" s="89">
        <f t="shared" si="72"/>
        <v>95000</v>
      </c>
      <c r="W136" s="90">
        <v>22672.01</v>
      </c>
      <c r="X136" s="14">
        <f t="shared" si="43"/>
        <v>0.23865273684210525</v>
      </c>
      <c r="Y136" s="88">
        <v>-26100</v>
      </c>
      <c r="AB136" s="89">
        <f t="shared" si="73"/>
        <v>68900</v>
      </c>
      <c r="AC136" s="90">
        <v>68248.009999999995</v>
      </c>
      <c r="AD136" s="14">
        <f t="shared" si="42"/>
        <v>0.99053715529753261</v>
      </c>
    </row>
    <row r="137" spans="1:30" x14ac:dyDescent="0.25">
      <c r="A137" s="7">
        <v>130</v>
      </c>
      <c r="B137" s="9"/>
      <c r="C137" s="9">
        <v>3745</v>
      </c>
      <c r="D137" s="9">
        <v>5137</v>
      </c>
      <c r="E137" s="9"/>
      <c r="F137" s="13" t="s">
        <v>364</v>
      </c>
      <c r="G137" s="13"/>
      <c r="M137" s="14"/>
      <c r="T137" s="14"/>
      <c r="X137" s="14"/>
      <c r="Y137" s="88">
        <v>26100</v>
      </c>
      <c r="AB137" s="89">
        <f t="shared" ref="AB137" si="76">H137+I137+J137+N137+O137+P137+Q137+U137+Y137+Z137+AA137</f>
        <v>26100</v>
      </c>
      <c r="AC137" s="90">
        <v>26015</v>
      </c>
      <c r="AD137" s="14">
        <f t="shared" ref="AD137:AD200" si="77">IF($AB137=0,0,AC137/$AB137)</f>
        <v>0.99674329501915704</v>
      </c>
    </row>
    <row r="138" spans="1:30" ht="25.5" customHeight="1" x14ac:dyDescent="0.25">
      <c r="A138" s="7">
        <v>131</v>
      </c>
      <c r="B138" s="9"/>
      <c r="C138" s="9">
        <v>3745</v>
      </c>
      <c r="D138" s="9">
        <v>5171</v>
      </c>
      <c r="E138" s="9"/>
      <c r="F138" s="13" t="s">
        <v>94</v>
      </c>
      <c r="G138" s="13"/>
      <c r="H138" s="87">
        <v>80000</v>
      </c>
      <c r="J138" s="88">
        <v>100000</v>
      </c>
      <c r="K138" s="89">
        <f t="shared" si="75"/>
        <v>180000</v>
      </c>
      <c r="M138" s="14">
        <f t="shared" si="44"/>
        <v>0</v>
      </c>
      <c r="R138" s="89">
        <f t="shared" si="74"/>
        <v>180000</v>
      </c>
      <c r="S138" s="90">
        <v>178477.98</v>
      </c>
      <c r="T138" s="14">
        <f t="shared" si="45"/>
        <v>0.99154433333333336</v>
      </c>
      <c r="V138" s="89">
        <f t="shared" si="72"/>
        <v>180000</v>
      </c>
      <c r="W138" s="90">
        <v>178477.98</v>
      </c>
      <c r="X138" s="14">
        <f t="shared" si="43"/>
        <v>0.99154433333333336</v>
      </c>
      <c r="AB138" s="89">
        <f t="shared" si="73"/>
        <v>180000</v>
      </c>
      <c r="AC138" s="90">
        <v>178477.98</v>
      </c>
      <c r="AD138" s="14">
        <f t="shared" si="77"/>
        <v>0.99154433333333336</v>
      </c>
    </row>
    <row r="139" spans="1:30" x14ac:dyDescent="0.25">
      <c r="A139" s="7">
        <v>132</v>
      </c>
      <c r="B139" s="9"/>
      <c r="C139" s="9">
        <v>3745</v>
      </c>
      <c r="D139" s="9">
        <v>5179</v>
      </c>
      <c r="E139" s="9"/>
      <c r="F139" s="13" t="s">
        <v>95</v>
      </c>
      <c r="G139" s="13"/>
      <c r="H139" s="87">
        <v>0</v>
      </c>
      <c r="K139" s="89">
        <f t="shared" si="75"/>
        <v>0</v>
      </c>
      <c r="M139" s="14">
        <f t="shared" si="44"/>
        <v>0</v>
      </c>
      <c r="R139" s="89">
        <f t="shared" si="74"/>
        <v>0</v>
      </c>
      <c r="T139" s="14">
        <f t="shared" si="45"/>
        <v>0</v>
      </c>
      <c r="V139" s="89">
        <f t="shared" si="72"/>
        <v>0</v>
      </c>
      <c r="X139" s="14">
        <f t="shared" ref="X139:X203" si="78">IF($V139=0,0,W139/$V139)</f>
        <v>0</v>
      </c>
      <c r="AB139" s="89">
        <f t="shared" si="73"/>
        <v>0</v>
      </c>
      <c r="AD139" s="14">
        <f t="shared" si="77"/>
        <v>0</v>
      </c>
    </row>
    <row r="140" spans="1:30" x14ac:dyDescent="0.25">
      <c r="A140" s="7">
        <v>133</v>
      </c>
      <c r="B140" s="19"/>
      <c r="C140" s="19"/>
      <c r="D140" s="30" t="s">
        <v>96</v>
      </c>
      <c r="E140" s="30"/>
      <c r="F140" s="19"/>
      <c r="G140" s="19"/>
      <c r="H140" s="70">
        <f>SUM(H128:H139)</f>
        <v>2505000</v>
      </c>
      <c r="I140" s="57">
        <f>SUM(I128:I139)</f>
        <v>200000</v>
      </c>
      <c r="J140" s="57">
        <f>SUM(J128:J139)</f>
        <v>400000</v>
      </c>
      <c r="K140" s="20">
        <f>SUM(K128:K139)</f>
        <v>3105000</v>
      </c>
      <c r="L140" s="97">
        <f>SUM(L128:L139)</f>
        <v>121817</v>
      </c>
      <c r="M140" s="14">
        <f t="shared" si="44"/>
        <v>3.9232528180354269E-2</v>
      </c>
      <c r="N140" s="57">
        <f t="shared" ref="N140:S140" si="79">SUM(N128:N139)</f>
        <v>352400</v>
      </c>
      <c r="O140" s="57">
        <f t="shared" si="79"/>
        <v>0</v>
      </c>
      <c r="P140" s="57">
        <f t="shared" si="79"/>
        <v>0</v>
      </c>
      <c r="Q140" s="57">
        <f t="shared" si="79"/>
        <v>0</v>
      </c>
      <c r="R140" s="20">
        <f t="shared" si="79"/>
        <v>3457400</v>
      </c>
      <c r="S140" s="97">
        <f t="shared" si="79"/>
        <v>604677.48</v>
      </c>
      <c r="T140" s="14">
        <f t="shared" si="45"/>
        <v>0.17489370046856018</v>
      </c>
      <c r="U140" s="57">
        <f t="shared" ref="U140" si="80">SUM(U128:U139)</f>
        <v>95000</v>
      </c>
      <c r="V140" s="20">
        <f t="shared" ref="V140" si="81">SUM(V128:V139)</f>
        <v>3552400</v>
      </c>
      <c r="W140" s="97">
        <f t="shared" ref="W140" si="82">SUM(W128:W139)</f>
        <v>1458988.38</v>
      </c>
      <c r="X140" s="14">
        <f t="shared" si="78"/>
        <v>0.41070498254701043</v>
      </c>
      <c r="Y140" s="57">
        <f t="shared" ref="Y140:AC140" si="83">SUM(Y128:Y139)</f>
        <v>0</v>
      </c>
      <c r="Z140" s="57">
        <f t="shared" si="83"/>
        <v>0</v>
      </c>
      <c r="AA140" s="57">
        <f t="shared" si="83"/>
        <v>0</v>
      </c>
      <c r="AB140" s="20">
        <f t="shared" si="83"/>
        <v>3552400</v>
      </c>
      <c r="AC140" s="97">
        <f t="shared" si="83"/>
        <v>2574073.42</v>
      </c>
      <c r="AD140" s="14">
        <f t="shared" si="77"/>
        <v>0.72460123296926016</v>
      </c>
    </row>
    <row r="141" spans="1:30" ht="13.8" thickBot="1" x14ac:dyDescent="0.3">
      <c r="A141" s="7">
        <v>134</v>
      </c>
      <c r="B141" s="9"/>
      <c r="C141" s="16" t="s">
        <v>97</v>
      </c>
      <c r="D141" s="16"/>
      <c r="E141" s="16"/>
      <c r="F141" s="17"/>
      <c r="G141" s="17"/>
      <c r="H141" s="69">
        <f>SUM(H114:H139)</f>
        <v>5320000</v>
      </c>
      <c r="I141" s="81">
        <f>SUM(I114:I139)</f>
        <v>200000</v>
      </c>
      <c r="J141" s="81">
        <f>SUM(J114:J139)</f>
        <v>400000</v>
      </c>
      <c r="K141" s="52">
        <f>SUM(K114:K139)</f>
        <v>5920000</v>
      </c>
      <c r="L141" s="105">
        <f>SUM(L114:L139)</f>
        <v>295208.39</v>
      </c>
      <c r="M141" s="14">
        <f t="shared" si="44"/>
        <v>4.9866282094594594E-2</v>
      </c>
      <c r="N141" s="81">
        <f t="shared" ref="N141:S141" si="84">SUM(N114:N139)</f>
        <v>352400</v>
      </c>
      <c r="O141" s="81">
        <f t="shared" si="84"/>
        <v>0</v>
      </c>
      <c r="P141" s="81">
        <f t="shared" si="84"/>
        <v>0</v>
      </c>
      <c r="Q141" s="81">
        <f t="shared" si="84"/>
        <v>0</v>
      </c>
      <c r="R141" s="52">
        <f t="shared" si="84"/>
        <v>6272400</v>
      </c>
      <c r="S141" s="105">
        <f t="shared" si="84"/>
        <v>1517831.01</v>
      </c>
      <c r="T141" s="112">
        <f t="shared" ref="T141:T206" si="85">IF($R141=0,0,S141/$R141)</f>
        <v>0.2419856849052994</v>
      </c>
      <c r="U141" s="81">
        <f t="shared" ref="U141:W141" si="86">SUM(U114:U139)</f>
        <v>95000</v>
      </c>
      <c r="V141" s="52">
        <f t="shared" si="86"/>
        <v>6367400</v>
      </c>
      <c r="W141" s="105">
        <f t="shared" si="86"/>
        <v>2504822.1</v>
      </c>
      <c r="X141" s="112">
        <f t="shared" si="78"/>
        <v>0.39338224393001853</v>
      </c>
      <c r="Y141" s="81">
        <f t="shared" ref="Y141:AC141" si="87">SUM(Y114:Y139)</f>
        <v>43000</v>
      </c>
      <c r="Z141" s="81">
        <f t="shared" si="87"/>
        <v>40000</v>
      </c>
      <c r="AA141" s="81">
        <f t="shared" si="87"/>
        <v>0</v>
      </c>
      <c r="AB141" s="52">
        <f t="shared" si="87"/>
        <v>6450400</v>
      </c>
      <c r="AC141" s="105">
        <f t="shared" si="87"/>
        <v>5117631.3800000008</v>
      </c>
      <c r="AD141" s="112">
        <f t="shared" si="77"/>
        <v>0.79338201971970745</v>
      </c>
    </row>
    <row r="142" spans="1:30" ht="13.8" thickTop="1" x14ac:dyDescent="0.25">
      <c r="A142" s="7">
        <v>135</v>
      </c>
      <c r="B142" s="9"/>
      <c r="C142" s="9"/>
      <c r="D142" s="9"/>
      <c r="E142" s="9"/>
      <c r="F142" s="13"/>
      <c r="G142" s="13"/>
      <c r="M142" s="14">
        <f t="shared" si="44"/>
        <v>0</v>
      </c>
      <c r="T142" s="14">
        <f t="shared" si="85"/>
        <v>0</v>
      </c>
      <c r="X142" s="14">
        <f t="shared" si="78"/>
        <v>0</v>
      </c>
      <c r="AD142" s="14">
        <f t="shared" si="77"/>
        <v>0</v>
      </c>
    </row>
    <row r="143" spans="1:30" x14ac:dyDescent="0.25">
      <c r="A143" s="7">
        <v>136</v>
      </c>
      <c r="B143" s="9" t="s">
        <v>98</v>
      </c>
      <c r="C143" s="9"/>
      <c r="D143" s="9"/>
      <c r="E143" s="9"/>
      <c r="F143" s="13"/>
      <c r="G143" s="13"/>
      <c r="M143" s="14">
        <f t="shared" ref="M143:M206" si="88">IF($K143=0,0,L143/$K143)</f>
        <v>0</v>
      </c>
      <c r="T143" s="14">
        <f t="shared" si="85"/>
        <v>0</v>
      </c>
      <c r="X143" s="14">
        <f t="shared" si="78"/>
        <v>0</v>
      </c>
      <c r="AD143" s="14">
        <f t="shared" si="77"/>
        <v>0</v>
      </c>
    </row>
    <row r="144" spans="1:30" x14ac:dyDescent="0.25">
      <c r="A144" s="7">
        <v>137</v>
      </c>
      <c r="B144" s="9"/>
      <c r="C144" s="9">
        <v>2212</v>
      </c>
      <c r="D144" s="13" t="s">
        <v>99</v>
      </c>
      <c r="E144" s="13"/>
      <c r="F144" s="33"/>
      <c r="G144" s="33"/>
      <c r="M144" s="14">
        <f t="shared" si="88"/>
        <v>0</v>
      </c>
      <c r="T144" s="14">
        <f t="shared" si="85"/>
        <v>0</v>
      </c>
      <c r="X144" s="14">
        <f t="shared" si="78"/>
        <v>0</v>
      </c>
      <c r="AD144" s="14">
        <f t="shared" si="77"/>
        <v>0</v>
      </c>
    </row>
    <row r="145" spans="1:30" x14ac:dyDescent="0.25">
      <c r="A145" s="7">
        <v>138</v>
      </c>
      <c r="B145" s="9"/>
      <c r="C145" s="9">
        <v>2212</v>
      </c>
      <c r="D145" s="9">
        <v>5137</v>
      </c>
      <c r="E145" s="13"/>
      <c r="F145" s="13" t="s">
        <v>82</v>
      </c>
      <c r="G145" s="13"/>
      <c r="H145" s="87">
        <v>30000</v>
      </c>
      <c r="K145" s="89">
        <f t="shared" ref="K145:K154" si="89">H145+I145+J145</f>
        <v>30000</v>
      </c>
      <c r="L145" s="90">
        <v>10353.969999999999</v>
      </c>
      <c r="M145" s="14">
        <f t="shared" si="88"/>
        <v>0.34513233333333332</v>
      </c>
      <c r="R145" s="89">
        <f t="shared" ref="R145:R154" si="90">H145+I145+J145+N145+O145+P145+Q145</f>
        <v>30000</v>
      </c>
      <c r="S145" s="90">
        <v>10353.969999999999</v>
      </c>
      <c r="T145" s="14">
        <f t="shared" si="85"/>
        <v>0.34513233333333332</v>
      </c>
      <c r="V145" s="89">
        <f t="shared" ref="V145:V154" si="91">H145+I145+J145+N145+O145+P145+Q145+U145</f>
        <v>30000</v>
      </c>
      <c r="W145" s="90">
        <v>10353.969999999999</v>
      </c>
      <c r="X145" s="14">
        <f t="shared" si="78"/>
        <v>0.34513233333333332</v>
      </c>
      <c r="AB145" s="89">
        <f t="shared" ref="AB145:AB154" si="92">H145+I145+J145+N145+O145+P145+Q145+U145+Y145+Z145+AA145</f>
        <v>30000</v>
      </c>
      <c r="AC145" s="90">
        <v>10353.969999999999</v>
      </c>
      <c r="AD145" s="14">
        <f t="shared" si="77"/>
        <v>0.34513233333333332</v>
      </c>
    </row>
    <row r="146" spans="1:30" x14ac:dyDescent="0.25">
      <c r="A146" s="7">
        <v>139</v>
      </c>
      <c r="B146" s="9"/>
      <c r="C146" s="9">
        <v>2212</v>
      </c>
      <c r="D146" s="9">
        <v>5139</v>
      </c>
      <c r="E146" s="9"/>
      <c r="F146" s="13" t="s">
        <v>83</v>
      </c>
      <c r="G146" s="13"/>
      <c r="H146" s="87">
        <v>10000</v>
      </c>
      <c r="K146" s="89">
        <f t="shared" si="89"/>
        <v>10000</v>
      </c>
      <c r="M146" s="14">
        <f t="shared" si="88"/>
        <v>0</v>
      </c>
      <c r="R146" s="89">
        <f t="shared" si="90"/>
        <v>10000</v>
      </c>
      <c r="T146" s="14">
        <f t="shared" si="85"/>
        <v>0</v>
      </c>
      <c r="V146" s="89">
        <f t="shared" si="91"/>
        <v>10000</v>
      </c>
      <c r="X146" s="14">
        <f t="shared" si="78"/>
        <v>0</v>
      </c>
      <c r="AB146" s="89">
        <f t="shared" si="92"/>
        <v>10000</v>
      </c>
      <c r="AD146" s="14">
        <f t="shared" si="77"/>
        <v>0</v>
      </c>
    </row>
    <row r="147" spans="1:30" x14ac:dyDescent="0.25">
      <c r="A147" s="7">
        <v>140</v>
      </c>
      <c r="B147" s="9"/>
      <c r="C147" s="9">
        <v>2212</v>
      </c>
      <c r="D147" s="9">
        <v>5154</v>
      </c>
      <c r="E147" s="9"/>
      <c r="F147" s="13" t="s">
        <v>100</v>
      </c>
      <c r="G147" s="13"/>
      <c r="H147" s="87">
        <v>10000</v>
      </c>
      <c r="K147" s="89">
        <f t="shared" si="89"/>
        <v>10000</v>
      </c>
      <c r="L147" s="90">
        <v>300</v>
      </c>
      <c r="M147" s="14">
        <f t="shared" si="88"/>
        <v>0.03</v>
      </c>
      <c r="R147" s="89">
        <f t="shared" si="90"/>
        <v>10000</v>
      </c>
      <c r="S147" s="90">
        <v>1181</v>
      </c>
      <c r="T147" s="14">
        <f t="shared" si="85"/>
        <v>0.1181</v>
      </c>
      <c r="V147" s="89">
        <f t="shared" si="91"/>
        <v>10000</v>
      </c>
      <c r="W147" s="90">
        <v>2254</v>
      </c>
      <c r="X147" s="14">
        <f t="shared" si="78"/>
        <v>0.22539999999999999</v>
      </c>
      <c r="AB147" s="89">
        <f t="shared" si="92"/>
        <v>10000</v>
      </c>
      <c r="AC147" s="90">
        <v>7419.25</v>
      </c>
      <c r="AD147" s="14">
        <f t="shared" si="77"/>
        <v>0.74192499999999995</v>
      </c>
    </row>
    <row r="148" spans="1:30" x14ac:dyDescent="0.25">
      <c r="A148" s="7">
        <v>141</v>
      </c>
      <c r="B148" s="9"/>
      <c r="C148" s="9">
        <v>2212</v>
      </c>
      <c r="D148" s="9">
        <v>5169</v>
      </c>
      <c r="E148" s="9"/>
      <c r="F148" s="13" t="s">
        <v>101</v>
      </c>
      <c r="G148" s="13"/>
      <c r="H148" s="87">
        <v>1000000</v>
      </c>
      <c r="K148" s="89">
        <f t="shared" si="89"/>
        <v>1000000</v>
      </c>
      <c r="L148" s="90">
        <v>126149.2</v>
      </c>
      <c r="M148" s="14">
        <f t="shared" si="88"/>
        <v>0.12614919999999999</v>
      </c>
      <c r="R148" s="89">
        <f t="shared" si="90"/>
        <v>1000000</v>
      </c>
      <c r="S148" s="90">
        <v>126149.2</v>
      </c>
      <c r="T148" s="14">
        <f t="shared" si="85"/>
        <v>0.12614919999999999</v>
      </c>
      <c r="V148" s="89">
        <f t="shared" si="91"/>
        <v>1000000</v>
      </c>
      <c r="W148" s="90">
        <v>140215.45000000001</v>
      </c>
      <c r="X148" s="14">
        <f t="shared" si="78"/>
        <v>0.14021545000000002</v>
      </c>
      <c r="AB148" s="89">
        <f t="shared" si="92"/>
        <v>1000000</v>
      </c>
      <c r="AC148" s="90">
        <v>263142.43</v>
      </c>
      <c r="AD148" s="14">
        <f t="shared" si="77"/>
        <v>0.26314242999999998</v>
      </c>
    </row>
    <row r="149" spans="1:30" x14ac:dyDescent="0.25">
      <c r="A149" s="7">
        <v>142</v>
      </c>
      <c r="B149" s="9"/>
      <c r="C149" s="9">
        <v>2212</v>
      </c>
      <c r="D149" s="9">
        <v>5171</v>
      </c>
      <c r="E149" s="9"/>
      <c r="F149" s="13" t="s">
        <v>102</v>
      </c>
      <c r="G149" s="13"/>
      <c r="H149" s="87">
        <v>200000</v>
      </c>
      <c r="K149" s="89">
        <f t="shared" si="89"/>
        <v>200000</v>
      </c>
      <c r="L149" s="90">
        <v>6262.96</v>
      </c>
      <c r="M149" s="14">
        <f t="shared" si="88"/>
        <v>3.1314799999999997E-2</v>
      </c>
      <c r="R149" s="89">
        <f t="shared" si="90"/>
        <v>200000</v>
      </c>
      <c r="S149" s="90">
        <v>6262.96</v>
      </c>
      <c r="T149" s="14">
        <f t="shared" si="85"/>
        <v>3.1314799999999997E-2</v>
      </c>
      <c r="V149" s="89">
        <f t="shared" si="91"/>
        <v>200000</v>
      </c>
      <c r="W149" s="90">
        <v>28330.94</v>
      </c>
      <c r="X149" s="14">
        <f t="shared" si="78"/>
        <v>0.14165469999999999</v>
      </c>
      <c r="AB149" s="89">
        <f t="shared" si="92"/>
        <v>200000</v>
      </c>
      <c r="AC149" s="90">
        <v>175048.28</v>
      </c>
      <c r="AD149" s="14">
        <f t="shared" si="77"/>
        <v>0.87524139999999995</v>
      </c>
    </row>
    <row r="150" spans="1:30" x14ac:dyDescent="0.25">
      <c r="A150" s="7">
        <v>143</v>
      </c>
      <c r="B150" s="9"/>
      <c r="C150" s="9"/>
      <c r="D150" s="13" t="s">
        <v>103</v>
      </c>
      <c r="E150" s="13"/>
      <c r="F150" s="33"/>
      <c r="G150" s="33"/>
      <c r="M150" s="14">
        <f t="shared" si="88"/>
        <v>0</v>
      </c>
      <c r="R150" s="89">
        <f t="shared" si="90"/>
        <v>0</v>
      </c>
      <c r="T150" s="14">
        <f t="shared" si="85"/>
        <v>0</v>
      </c>
      <c r="V150" s="89">
        <f t="shared" si="91"/>
        <v>0</v>
      </c>
      <c r="X150" s="14">
        <f t="shared" si="78"/>
        <v>0</v>
      </c>
      <c r="AB150" s="89">
        <f t="shared" si="92"/>
        <v>0</v>
      </c>
      <c r="AD150" s="14">
        <f t="shared" si="77"/>
        <v>0</v>
      </c>
    </row>
    <row r="151" spans="1:30" x14ac:dyDescent="0.25">
      <c r="A151" s="7">
        <v>144</v>
      </c>
      <c r="B151" s="9"/>
      <c r="C151" s="9">
        <v>2219</v>
      </c>
      <c r="D151" s="9">
        <v>5169</v>
      </c>
      <c r="E151" s="9"/>
      <c r="F151" s="13" t="s">
        <v>92</v>
      </c>
      <c r="G151" s="13"/>
      <c r="H151" s="87">
        <f>200000+208000+60000+32000</f>
        <v>500000</v>
      </c>
      <c r="K151" s="89">
        <f t="shared" si="89"/>
        <v>500000</v>
      </c>
      <c r="L151" s="90">
        <v>231723.8</v>
      </c>
      <c r="M151" s="14">
        <f t="shared" si="88"/>
        <v>0.46344759999999996</v>
      </c>
      <c r="R151" s="89">
        <f t="shared" si="90"/>
        <v>500000</v>
      </c>
      <c r="S151" s="90">
        <v>231723.8</v>
      </c>
      <c r="T151" s="14">
        <f t="shared" si="85"/>
        <v>0.46344759999999996</v>
      </c>
      <c r="V151" s="89">
        <f t="shared" si="91"/>
        <v>500000</v>
      </c>
      <c r="W151" s="90">
        <v>245790.05</v>
      </c>
      <c r="X151" s="14">
        <f t="shared" si="78"/>
        <v>0.49158009999999996</v>
      </c>
      <c r="AB151" s="89">
        <f t="shared" si="92"/>
        <v>500000</v>
      </c>
      <c r="AC151" s="90">
        <v>387229.03</v>
      </c>
      <c r="AD151" s="14">
        <f t="shared" si="77"/>
        <v>0.77445806000000006</v>
      </c>
    </row>
    <row r="152" spans="1:30" x14ac:dyDescent="0.25">
      <c r="A152" s="7">
        <v>145</v>
      </c>
      <c r="B152" s="9"/>
      <c r="C152" s="9">
        <v>2219</v>
      </c>
      <c r="D152" s="9">
        <v>5164</v>
      </c>
      <c r="E152" s="9"/>
      <c r="F152" s="13" t="s">
        <v>136</v>
      </c>
      <c r="G152" s="13"/>
      <c r="M152" s="14"/>
      <c r="T152" s="14"/>
      <c r="X152" s="14"/>
      <c r="AB152" s="89">
        <v>0</v>
      </c>
      <c r="AC152" s="90">
        <v>99946</v>
      </c>
      <c r="AD152" s="14">
        <f t="shared" si="77"/>
        <v>0</v>
      </c>
    </row>
    <row r="153" spans="1:30" x14ac:dyDescent="0.25">
      <c r="A153" s="7">
        <v>146</v>
      </c>
      <c r="B153" s="9"/>
      <c r="C153" s="9">
        <v>2219</v>
      </c>
      <c r="D153" s="9">
        <v>5171</v>
      </c>
      <c r="E153" s="9"/>
      <c r="F153" s="13" t="s">
        <v>102</v>
      </c>
      <c r="G153" s="13"/>
      <c r="H153" s="87">
        <v>400000</v>
      </c>
      <c r="K153" s="89">
        <f t="shared" si="89"/>
        <v>400000</v>
      </c>
      <c r="L153" s="90">
        <v>0</v>
      </c>
      <c r="M153" s="14">
        <f t="shared" si="88"/>
        <v>0</v>
      </c>
      <c r="R153" s="89">
        <f t="shared" si="90"/>
        <v>400000</v>
      </c>
      <c r="S153" s="90">
        <v>92423.25</v>
      </c>
      <c r="T153" s="14">
        <f t="shared" si="85"/>
        <v>0.231058125</v>
      </c>
      <c r="V153" s="89">
        <f t="shared" si="91"/>
        <v>400000</v>
      </c>
      <c r="W153" s="90">
        <v>140097.25</v>
      </c>
      <c r="X153" s="14">
        <f t="shared" si="78"/>
        <v>0.35024312499999999</v>
      </c>
      <c r="AB153" s="89">
        <f t="shared" si="92"/>
        <v>400000</v>
      </c>
      <c r="AC153" s="90">
        <v>140097.25</v>
      </c>
      <c r="AD153" s="14">
        <f t="shared" si="77"/>
        <v>0.35024312499999999</v>
      </c>
    </row>
    <row r="154" spans="1:30" x14ac:dyDescent="0.25">
      <c r="A154" s="7">
        <v>147</v>
      </c>
      <c r="B154" s="9"/>
      <c r="C154" s="9">
        <v>2221</v>
      </c>
      <c r="D154" s="9">
        <v>5171</v>
      </c>
      <c r="E154" s="9"/>
      <c r="F154" s="13" t="s">
        <v>104</v>
      </c>
      <c r="G154" s="13"/>
      <c r="H154" s="87">
        <v>30000</v>
      </c>
      <c r="K154" s="89">
        <f t="shared" si="89"/>
        <v>30000</v>
      </c>
      <c r="L154" s="90">
        <v>0</v>
      </c>
      <c r="M154" s="14">
        <f t="shared" si="88"/>
        <v>0</v>
      </c>
      <c r="R154" s="89">
        <f t="shared" si="90"/>
        <v>30000</v>
      </c>
      <c r="S154" s="90">
        <v>0</v>
      </c>
      <c r="T154" s="14">
        <f t="shared" si="85"/>
        <v>0</v>
      </c>
      <c r="V154" s="89">
        <f t="shared" si="91"/>
        <v>30000</v>
      </c>
      <c r="W154" s="90">
        <v>0</v>
      </c>
      <c r="X154" s="14">
        <f t="shared" si="78"/>
        <v>0</v>
      </c>
      <c r="AB154" s="89">
        <f t="shared" si="92"/>
        <v>30000</v>
      </c>
      <c r="AC154" s="90">
        <v>0</v>
      </c>
      <c r="AD154" s="14">
        <f t="shared" si="77"/>
        <v>0</v>
      </c>
    </row>
    <row r="155" spans="1:30" ht="13.8" thickBot="1" x14ac:dyDescent="0.3">
      <c r="A155" s="7">
        <v>148</v>
      </c>
      <c r="B155" s="9"/>
      <c r="C155" s="16" t="s">
        <v>105</v>
      </c>
      <c r="D155" s="16"/>
      <c r="E155" s="16"/>
      <c r="F155" s="17"/>
      <c r="G155" s="17"/>
      <c r="H155" s="69">
        <f>SUM(H145:H154)</f>
        <v>2180000</v>
      </c>
      <c r="I155" s="81">
        <f>SUM(I145:I154)</f>
        <v>0</v>
      </c>
      <c r="J155" s="81">
        <f>SUM(J145:J154)</f>
        <v>0</v>
      </c>
      <c r="K155" s="52">
        <f>SUM(K145:K154)</f>
        <v>2180000</v>
      </c>
      <c r="L155" s="105">
        <f>SUM(L145:L154)</f>
        <v>374789.92999999993</v>
      </c>
      <c r="M155" s="14">
        <f t="shared" si="88"/>
        <v>0.17192198623853208</v>
      </c>
      <c r="N155" s="81">
        <f t="shared" ref="N155:S155" si="93">SUM(N145:N154)</f>
        <v>0</v>
      </c>
      <c r="O155" s="81">
        <f t="shared" si="93"/>
        <v>0</v>
      </c>
      <c r="P155" s="81">
        <f t="shared" si="93"/>
        <v>0</v>
      </c>
      <c r="Q155" s="81">
        <f t="shared" si="93"/>
        <v>0</v>
      </c>
      <c r="R155" s="52">
        <f t="shared" si="93"/>
        <v>2180000</v>
      </c>
      <c r="S155" s="105">
        <f t="shared" si="93"/>
        <v>468094.17999999993</v>
      </c>
      <c r="T155" s="112">
        <f t="shared" si="85"/>
        <v>0.21472210091743116</v>
      </c>
      <c r="U155" s="81">
        <f t="shared" ref="U155" si="94">SUM(U145:U154)</f>
        <v>0</v>
      </c>
      <c r="V155" s="52">
        <f t="shared" ref="V155" si="95">SUM(V145:V154)</f>
        <v>2180000</v>
      </c>
      <c r="W155" s="105">
        <f t="shared" ref="W155" si="96">SUM(W145:W154)</f>
        <v>567041.66</v>
      </c>
      <c r="X155" s="112">
        <f t="shared" si="78"/>
        <v>0.26011085321100919</v>
      </c>
      <c r="Y155" s="81">
        <f t="shared" ref="Y155:AC155" si="97">SUM(Y145:Y154)</f>
        <v>0</v>
      </c>
      <c r="Z155" s="81">
        <f t="shared" si="97"/>
        <v>0</v>
      </c>
      <c r="AA155" s="81">
        <f t="shared" si="97"/>
        <v>0</v>
      </c>
      <c r="AB155" s="52">
        <f t="shared" si="97"/>
        <v>2180000</v>
      </c>
      <c r="AC155" s="105">
        <f t="shared" si="97"/>
        <v>1083236.21</v>
      </c>
      <c r="AD155" s="112">
        <f t="shared" si="77"/>
        <v>0.49689734403669722</v>
      </c>
    </row>
    <row r="156" spans="1:30" ht="13.8" thickTop="1" x14ac:dyDescent="0.25">
      <c r="A156" s="7">
        <v>149</v>
      </c>
      <c r="B156" s="9"/>
      <c r="C156" s="9"/>
      <c r="D156" s="9"/>
      <c r="E156" s="9"/>
      <c r="F156" s="13"/>
      <c r="G156" s="13"/>
      <c r="M156" s="14">
        <f t="shared" si="88"/>
        <v>0</v>
      </c>
      <c r="T156" s="14">
        <f t="shared" si="85"/>
        <v>0</v>
      </c>
      <c r="X156" s="14">
        <f t="shared" si="78"/>
        <v>0</v>
      </c>
      <c r="AD156" s="14">
        <f t="shared" si="77"/>
        <v>0</v>
      </c>
    </row>
    <row r="157" spans="1:30" x14ac:dyDescent="0.25">
      <c r="A157" s="7">
        <v>150</v>
      </c>
      <c r="B157" s="9" t="s">
        <v>106</v>
      </c>
      <c r="C157" s="9"/>
      <c r="D157" s="9"/>
      <c r="E157" s="9"/>
      <c r="F157" s="13"/>
      <c r="G157" s="13"/>
      <c r="M157" s="14">
        <f t="shared" si="88"/>
        <v>0</v>
      </c>
      <c r="T157" s="14">
        <f t="shared" si="85"/>
        <v>0</v>
      </c>
      <c r="X157" s="14">
        <f t="shared" si="78"/>
        <v>0</v>
      </c>
      <c r="AD157" s="14">
        <f t="shared" si="77"/>
        <v>0</v>
      </c>
    </row>
    <row r="158" spans="1:30" x14ac:dyDescent="0.25">
      <c r="A158" s="7">
        <v>151</v>
      </c>
      <c r="B158" s="9"/>
      <c r="C158" s="9">
        <v>3111</v>
      </c>
      <c r="D158" s="9">
        <v>5154</v>
      </c>
      <c r="E158" s="9"/>
      <c r="F158" s="13" t="s">
        <v>100</v>
      </c>
      <c r="G158" s="13"/>
      <c r="M158" s="14">
        <f t="shared" si="88"/>
        <v>0</v>
      </c>
      <c r="T158" s="14">
        <f t="shared" si="85"/>
        <v>0</v>
      </c>
      <c r="V158" s="89">
        <f t="shared" ref="V158:V190" si="98">H158+I158+J158+N158+O158+P158+Q158+U158</f>
        <v>0</v>
      </c>
      <c r="X158" s="14">
        <f t="shared" si="78"/>
        <v>0</v>
      </c>
      <c r="AB158" s="89">
        <f t="shared" ref="AB158:AB190" si="99">H158+I158+J158+N158+O158+P158+Q158+U158+Y158+Z158+AA158</f>
        <v>0</v>
      </c>
      <c r="AD158" s="14">
        <f t="shared" si="77"/>
        <v>0</v>
      </c>
    </row>
    <row r="159" spans="1:30" x14ac:dyDescent="0.25">
      <c r="A159" s="7">
        <v>152</v>
      </c>
      <c r="B159" s="9"/>
      <c r="C159" s="9">
        <v>3111</v>
      </c>
      <c r="D159" s="9">
        <v>5137</v>
      </c>
      <c r="E159" s="9"/>
      <c r="F159" s="13" t="s">
        <v>107</v>
      </c>
      <c r="G159" s="13"/>
      <c r="M159" s="14">
        <f t="shared" si="88"/>
        <v>0</v>
      </c>
      <c r="T159" s="14">
        <f t="shared" si="85"/>
        <v>0</v>
      </c>
      <c r="V159" s="89">
        <f t="shared" si="98"/>
        <v>0</v>
      </c>
      <c r="X159" s="14">
        <f t="shared" si="78"/>
        <v>0</v>
      </c>
      <c r="AB159" s="89">
        <f t="shared" si="99"/>
        <v>0</v>
      </c>
      <c r="AD159" s="14">
        <f t="shared" si="77"/>
        <v>0</v>
      </c>
    </row>
    <row r="160" spans="1:30" x14ac:dyDescent="0.25">
      <c r="A160" s="7">
        <v>153</v>
      </c>
      <c r="B160" s="9"/>
      <c r="C160" s="9">
        <v>3111</v>
      </c>
      <c r="D160" s="9">
        <v>5163</v>
      </c>
      <c r="E160" s="9"/>
      <c r="F160" s="13" t="s">
        <v>108</v>
      </c>
      <c r="G160" s="13"/>
      <c r="H160" s="87">
        <v>15000</v>
      </c>
      <c r="K160" s="89">
        <f t="shared" ref="K160:K190" si="100">H160+I160+J160</f>
        <v>15000</v>
      </c>
      <c r="M160" s="14">
        <f t="shared" si="88"/>
        <v>0</v>
      </c>
      <c r="N160" s="88">
        <v>3000</v>
      </c>
      <c r="R160" s="89">
        <f t="shared" ref="R160:R190" si="101">H160+I160+J160+N160+O160+P160+Q160</f>
        <v>18000</v>
      </c>
      <c r="S160" s="90">
        <v>17433</v>
      </c>
      <c r="T160" s="14">
        <f t="shared" si="85"/>
        <v>0.96850000000000003</v>
      </c>
      <c r="V160" s="89">
        <f t="shared" si="98"/>
        <v>18000</v>
      </c>
      <c r="W160" s="90">
        <v>17433</v>
      </c>
      <c r="X160" s="14">
        <f t="shared" si="78"/>
        <v>0.96850000000000003</v>
      </c>
      <c r="AB160" s="89">
        <f t="shared" si="99"/>
        <v>18000</v>
      </c>
      <c r="AC160" s="90">
        <v>17433</v>
      </c>
      <c r="AD160" s="14">
        <f t="shared" si="77"/>
        <v>0.96850000000000003</v>
      </c>
    </row>
    <row r="161" spans="1:30" x14ac:dyDescent="0.25">
      <c r="A161" s="7">
        <v>154</v>
      </c>
      <c r="B161" s="9"/>
      <c r="C161" s="9">
        <v>3111</v>
      </c>
      <c r="D161" s="9">
        <v>5169</v>
      </c>
      <c r="E161" s="9"/>
      <c r="F161" s="13" t="s">
        <v>109</v>
      </c>
      <c r="G161" s="13"/>
      <c r="H161" s="87">
        <v>20000</v>
      </c>
      <c r="K161" s="89">
        <f t="shared" si="100"/>
        <v>20000</v>
      </c>
      <c r="M161" s="14">
        <f t="shared" si="88"/>
        <v>0</v>
      </c>
      <c r="N161" s="88">
        <v>-3000</v>
      </c>
      <c r="R161" s="89">
        <f t="shared" si="101"/>
        <v>17000</v>
      </c>
      <c r="S161" s="90">
        <v>4380.2</v>
      </c>
      <c r="T161" s="14">
        <f t="shared" si="85"/>
        <v>0.25765882352941177</v>
      </c>
      <c r="V161" s="89">
        <f t="shared" si="98"/>
        <v>17000</v>
      </c>
      <c r="W161" s="90">
        <v>4380.2</v>
      </c>
      <c r="X161" s="14">
        <f t="shared" si="78"/>
        <v>0.25765882352941177</v>
      </c>
      <c r="AB161" s="89">
        <f t="shared" si="99"/>
        <v>17000</v>
      </c>
      <c r="AC161" s="90">
        <v>10188.200000000001</v>
      </c>
      <c r="AD161" s="14">
        <f t="shared" si="77"/>
        <v>0.59930588235294124</v>
      </c>
    </row>
    <row r="162" spans="1:30" x14ac:dyDescent="0.25">
      <c r="A162" s="7">
        <v>155</v>
      </c>
      <c r="B162" s="9"/>
      <c r="C162" s="9">
        <v>3111</v>
      </c>
      <c r="D162" s="9">
        <v>5171</v>
      </c>
      <c r="E162" s="9"/>
      <c r="F162" s="13" t="s">
        <v>110</v>
      </c>
      <c r="G162" s="13"/>
      <c r="H162" s="87">
        <v>250000</v>
      </c>
      <c r="K162" s="89">
        <f t="shared" si="100"/>
        <v>250000</v>
      </c>
      <c r="M162" s="14">
        <f t="shared" si="88"/>
        <v>0</v>
      </c>
      <c r="R162" s="89">
        <f t="shared" si="101"/>
        <v>250000</v>
      </c>
      <c r="T162" s="14">
        <f t="shared" si="85"/>
        <v>0</v>
      </c>
      <c r="V162" s="89">
        <f t="shared" si="98"/>
        <v>250000</v>
      </c>
      <c r="X162" s="14">
        <f t="shared" si="78"/>
        <v>0</v>
      </c>
      <c r="AB162" s="89">
        <f t="shared" si="99"/>
        <v>250000</v>
      </c>
      <c r="AC162" s="90">
        <v>0</v>
      </c>
      <c r="AD162" s="14">
        <f t="shared" si="77"/>
        <v>0</v>
      </c>
    </row>
    <row r="163" spans="1:30" x14ac:dyDescent="0.25">
      <c r="A163" s="7">
        <v>156</v>
      </c>
      <c r="B163" s="9"/>
      <c r="C163" s="9">
        <v>3113</v>
      </c>
      <c r="D163" s="9">
        <v>5163</v>
      </c>
      <c r="E163" s="9"/>
      <c r="F163" s="13" t="s">
        <v>108</v>
      </c>
      <c r="G163" s="13"/>
      <c r="H163" s="87">
        <v>55000</v>
      </c>
      <c r="K163" s="89">
        <f t="shared" si="100"/>
        <v>55000</v>
      </c>
      <c r="M163" s="14">
        <f t="shared" si="88"/>
        <v>0</v>
      </c>
      <c r="R163" s="89">
        <f t="shared" si="101"/>
        <v>55000</v>
      </c>
      <c r="S163" s="90">
        <v>53344</v>
      </c>
      <c r="T163" s="14">
        <f t="shared" si="85"/>
        <v>0.96989090909090914</v>
      </c>
      <c r="V163" s="89">
        <f t="shared" si="98"/>
        <v>55000</v>
      </c>
      <c r="W163" s="90">
        <v>53344</v>
      </c>
      <c r="X163" s="14">
        <f t="shared" si="78"/>
        <v>0.96989090909090914</v>
      </c>
      <c r="AB163" s="89">
        <f t="shared" si="99"/>
        <v>55000</v>
      </c>
      <c r="AC163" s="90">
        <v>53344</v>
      </c>
      <c r="AD163" s="14">
        <f t="shared" si="77"/>
        <v>0.96989090909090914</v>
      </c>
    </row>
    <row r="164" spans="1:30" x14ac:dyDescent="0.25">
      <c r="A164" s="7">
        <v>157</v>
      </c>
      <c r="B164" s="9"/>
      <c r="C164" s="9">
        <v>3113</v>
      </c>
      <c r="D164" s="9">
        <v>5169</v>
      </c>
      <c r="E164" s="9"/>
      <c r="F164" s="13" t="s">
        <v>109</v>
      </c>
      <c r="G164" s="13"/>
      <c r="H164" s="87">
        <v>100000</v>
      </c>
      <c r="K164" s="89">
        <f t="shared" si="100"/>
        <v>100000</v>
      </c>
      <c r="M164" s="14">
        <f t="shared" si="88"/>
        <v>0</v>
      </c>
      <c r="O164" s="88">
        <v>50000</v>
      </c>
      <c r="R164" s="89">
        <f t="shared" si="101"/>
        <v>150000</v>
      </c>
      <c r="S164" s="90">
        <v>131164</v>
      </c>
      <c r="T164" s="14">
        <f t="shared" si="85"/>
        <v>0.87442666666666669</v>
      </c>
      <c r="V164" s="89">
        <f t="shared" si="98"/>
        <v>150000</v>
      </c>
      <c r="W164" s="90">
        <v>131164</v>
      </c>
      <c r="X164" s="14">
        <f t="shared" si="78"/>
        <v>0.87442666666666669</v>
      </c>
      <c r="AB164" s="89">
        <f t="shared" si="99"/>
        <v>150000</v>
      </c>
      <c r="AC164" s="90">
        <v>145645.01999999999</v>
      </c>
      <c r="AD164" s="14">
        <f t="shared" si="77"/>
        <v>0.97096679999999991</v>
      </c>
    </row>
    <row r="165" spans="1:30" x14ac:dyDescent="0.25">
      <c r="A165" s="7">
        <v>158</v>
      </c>
      <c r="B165" s="9"/>
      <c r="C165" s="9">
        <v>3113</v>
      </c>
      <c r="D165" s="9">
        <v>5171</v>
      </c>
      <c r="E165" s="9"/>
      <c r="F165" s="13" t="s">
        <v>111</v>
      </c>
      <c r="G165" s="13"/>
      <c r="H165" s="87">
        <v>250000</v>
      </c>
      <c r="K165" s="89">
        <f t="shared" si="100"/>
        <v>250000</v>
      </c>
      <c r="M165" s="14">
        <f t="shared" si="88"/>
        <v>0</v>
      </c>
      <c r="R165" s="89">
        <f t="shared" si="101"/>
        <v>250000</v>
      </c>
      <c r="S165" s="90">
        <v>0</v>
      </c>
      <c r="T165" s="14">
        <f t="shared" si="85"/>
        <v>0</v>
      </c>
      <c r="V165" s="89">
        <f t="shared" si="98"/>
        <v>250000</v>
      </c>
      <c r="W165" s="90">
        <v>102327.28</v>
      </c>
      <c r="X165" s="14">
        <f t="shared" si="78"/>
        <v>0.40930911999999997</v>
      </c>
      <c r="AB165" s="89">
        <f t="shared" si="99"/>
        <v>250000</v>
      </c>
      <c r="AC165" s="90">
        <v>134656.28</v>
      </c>
      <c r="AD165" s="14">
        <f t="shared" si="77"/>
        <v>0.53862511999999996</v>
      </c>
    </row>
    <row r="166" spans="1:30" x14ac:dyDescent="0.25">
      <c r="A166" s="7">
        <v>159</v>
      </c>
      <c r="B166" s="9"/>
      <c r="C166" s="9">
        <v>3113</v>
      </c>
      <c r="D166" s="9">
        <v>5331</v>
      </c>
      <c r="E166" s="9"/>
      <c r="F166" s="13" t="s">
        <v>112</v>
      </c>
      <c r="G166" s="13"/>
      <c r="H166" s="87">
        <v>6445000</v>
      </c>
      <c r="K166" s="89">
        <f t="shared" si="100"/>
        <v>6445000</v>
      </c>
      <c r="L166" s="90">
        <v>1611250</v>
      </c>
      <c r="M166" s="14">
        <f t="shared" si="88"/>
        <v>0.25</v>
      </c>
      <c r="R166" s="89">
        <f t="shared" si="101"/>
        <v>6445000</v>
      </c>
      <c r="S166" s="90">
        <v>3222500</v>
      </c>
      <c r="T166" s="14">
        <f t="shared" si="85"/>
        <v>0.5</v>
      </c>
      <c r="V166" s="89">
        <f t="shared" si="98"/>
        <v>6445000</v>
      </c>
      <c r="W166" s="90">
        <v>4833750</v>
      </c>
      <c r="X166" s="14">
        <f t="shared" si="78"/>
        <v>0.75</v>
      </c>
      <c r="AB166" s="89">
        <f t="shared" si="99"/>
        <v>6445000</v>
      </c>
      <c r="AC166" s="90">
        <v>6445000</v>
      </c>
      <c r="AD166" s="14">
        <f t="shared" si="77"/>
        <v>1</v>
      </c>
    </row>
    <row r="167" spans="1:30" x14ac:dyDescent="0.25">
      <c r="A167" s="7">
        <v>160</v>
      </c>
      <c r="B167" s="9"/>
      <c r="C167" s="9">
        <v>3113</v>
      </c>
      <c r="D167" s="9">
        <v>5336</v>
      </c>
      <c r="E167" s="9"/>
      <c r="F167" s="13" t="s">
        <v>360</v>
      </c>
      <c r="G167" s="13"/>
      <c r="K167" s="89">
        <f t="shared" si="100"/>
        <v>0</v>
      </c>
      <c r="M167" s="14">
        <f t="shared" si="88"/>
        <v>0</v>
      </c>
      <c r="O167" s="88">
        <v>1622200</v>
      </c>
      <c r="R167" s="89">
        <f t="shared" si="101"/>
        <v>1622200</v>
      </c>
      <c r="T167" s="14">
        <f t="shared" si="85"/>
        <v>0</v>
      </c>
      <c r="V167" s="89">
        <f t="shared" si="98"/>
        <v>1622200</v>
      </c>
      <c r="W167" s="90">
        <v>811300</v>
      </c>
      <c r="X167" s="14">
        <f t="shared" si="78"/>
        <v>0.50012328936012818</v>
      </c>
      <c r="AB167" s="89">
        <f>H167+I167+J167+N167+O167+P167+Q167+U167+Y167+Z167+AA167</f>
        <v>1622200</v>
      </c>
      <c r="AC167" s="90">
        <v>1622200</v>
      </c>
      <c r="AD167" s="14">
        <f t="shared" si="77"/>
        <v>1</v>
      </c>
    </row>
    <row r="168" spans="1:30" x14ac:dyDescent="0.25">
      <c r="A168" s="7">
        <v>161</v>
      </c>
      <c r="B168" s="9"/>
      <c r="C168" s="9">
        <v>3113</v>
      </c>
      <c r="D168" s="9">
        <v>5336</v>
      </c>
      <c r="E168" s="9"/>
      <c r="F168" s="13" t="s">
        <v>359</v>
      </c>
      <c r="G168" s="13"/>
      <c r="J168" s="88">
        <v>86300</v>
      </c>
      <c r="K168" s="89">
        <f t="shared" si="100"/>
        <v>86300</v>
      </c>
      <c r="L168" s="90">
        <v>0</v>
      </c>
      <c r="M168" s="14">
        <f t="shared" si="88"/>
        <v>0</v>
      </c>
      <c r="R168" s="89">
        <f t="shared" si="101"/>
        <v>86300</v>
      </c>
      <c r="S168" s="90">
        <v>86300</v>
      </c>
      <c r="T168" s="14">
        <f t="shared" si="85"/>
        <v>1</v>
      </c>
      <c r="V168" s="89">
        <f t="shared" si="98"/>
        <v>86300</v>
      </c>
      <c r="W168" s="90">
        <v>86300</v>
      </c>
      <c r="X168" s="14">
        <f t="shared" si="78"/>
        <v>1</v>
      </c>
      <c r="AB168" s="89">
        <f t="shared" si="99"/>
        <v>86300</v>
      </c>
      <c r="AC168" s="90">
        <v>86300</v>
      </c>
      <c r="AD168" s="14">
        <f t="shared" si="77"/>
        <v>1</v>
      </c>
    </row>
    <row r="169" spans="1:30" x14ac:dyDescent="0.25">
      <c r="A169" s="7">
        <v>162</v>
      </c>
      <c r="B169" s="9"/>
      <c r="C169" s="9">
        <v>3113</v>
      </c>
      <c r="D169" s="9">
        <v>5336</v>
      </c>
      <c r="E169" s="9"/>
      <c r="F169" s="13" t="s">
        <v>358</v>
      </c>
      <c r="G169" s="13"/>
      <c r="K169" s="89">
        <f t="shared" si="100"/>
        <v>0</v>
      </c>
      <c r="M169" s="14">
        <f t="shared" si="88"/>
        <v>0</v>
      </c>
      <c r="N169" s="88">
        <v>792900</v>
      </c>
      <c r="R169" s="89">
        <f t="shared" si="101"/>
        <v>792900</v>
      </c>
      <c r="S169" s="90">
        <v>165341</v>
      </c>
      <c r="T169" s="14">
        <f t="shared" si="85"/>
        <v>0.20852692647244292</v>
      </c>
      <c r="V169" s="89">
        <f t="shared" si="98"/>
        <v>792900</v>
      </c>
      <c r="W169" s="90">
        <v>165341</v>
      </c>
      <c r="X169" s="14">
        <f t="shared" si="78"/>
        <v>0.20852692647244292</v>
      </c>
      <c r="AB169" s="89">
        <f t="shared" si="99"/>
        <v>792900</v>
      </c>
      <c r="AC169" s="90">
        <v>468841.82</v>
      </c>
      <c r="AD169" s="14">
        <f t="shared" si="77"/>
        <v>0.59130006305965443</v>
      </c>
    </row>
    <row r="170" spans="1:30" x14ac:dyDescent="0.25">
      <c r="A170" s="7">
        <v>163</v>
      </c>
      <c r="B170" s="9"/>
      <c r="C170" s="9">
        <v>3113</v>
      </c>
      <c r="D170" s="9">
        <v>5336</v>
      </c>
      <c r="E170" s="9"/>
      <c r="F170" s="13" t="s">
        <v>353</v>
      </c>
      <c r="G170" s="13"/>
      <c r="M170" s="14"/>
      <c r="T170" s="14"/>
      <c r="U170" s="88">
        <v>3616000</v>
      </c>
      <c r="V170" s="89">
        <f t="shared" si="98"/>
        <v>3616000</v>
      </c>
      <c r="X170" s="14">
        <f t="shared" si="78"/>
        <v>0</v>
      </c>
      <c r="AB170" s="89">
        <f t="shared" si="99"/>
        <v>3616000</v>
      </c>
      <c r="AC170" s="90">
        <v>3616032</v>
      </c>
      <c r="AD170" s="14">
        <f t="shared" si="77"/>
        <v>1.0000088495575221</v>
      </c>
    </row>
    <row r="171" spans="1:30" ht="13.2" customHeight="1" x14ac:dyDescent="0.25">
      <c r="A171" s="7">
        <v>164</v>
      </c>
      <c r="B171" s="9"/>
      <c r="C171" s="9">
        <v>3143</v>
      </c>
      <c r="D171" s="9">
        <v>5041</v>
      </c>
      <c r="E171" s="9"/>
      <c r="F171" s="13" t="s">
        <v>113</v>
      </c>
      <c r="G171" s="13"/>
      <c r="K171" s="89">
        <f t="shared" si="100"/>
        <v>0</v>
      </c>
      <c r="M171" s="14">
        <f t="shared" si="88"/>
        <v>0</v>
      </c>
      <c r="R171" s="89">
        <f t="shared" si="101"/>
        <v>0</v>
      </c>
      <c r="T171" s="14">
        <f t="shared" si="85"/>
        <v>0</v>
      </c>
      <c r="V171" s="89">
        <f t="shared" si="98"/>
        <v>0</v>
      </c>
      <c r="X171" s="14">
        <f t="shared" si="78"/>
        <v>0</v>
      </c>
      <c r="AB171" s="89">
        <f t="shared" si="99"/>
        <v>0</v>
      </c>
      <c r="AD171" s="14">
        <f t="shared" si="77"/>
        <v>0</v>
      </c>
    </row>
    <row r="172" spans="1:30" x14ac:dyDescent="0.25">
      <c r="A172" s="7">
        <v>165</v>
      </c>
      <c r="B172" s="9"/>
      <c r="C172" s="9">
        <v>3143</v>
      </c>
      <c r="D172" s="9">
        <v>5139</v>
      </c>
      <c r="E172" s="9"/>
      <c r="F172" s="13" t="s">
        <v>114</v>
      </c>
      <c r="G172" s="13"/>
      <c r="K172" s="89">
        <f t="shared" si="100"/>
        <v>0</v>
      </c>
      <c r="M172" s="14">
        <f t="shared" si="88"/>
        <v>0</v>
      </c>
      <c r="R172" s="89">
        <f t="shared" si="101"/>
        <v>0</v>
      </c>
      <c r="T172" s="14">
        <f t="shared" si="85"/>
        <v>0</v>
      </c>
      <c r="V172" s="89">
        <f t="shared" si="98"/>
        <v>0</v>
      </c>
      <c r="X172" s="14">
        <f t="shared" si="78"/>
        <v>0</v>
      </c>
      <c r="AB172" s="89">
        <f t="shared" si="99"/>
        <v>0</v>
      </c>
      <c r="AD172" s="14">
        <f t="shared" si="77"/>
        <v>0</v>
      </c>
    </row>
    <row r="173" spans="1:30" x14ac:dyDescent="0.25">
      <c r="A173" s="7">
        <v>166</v>
      </c>
      <c r="B173" s="9"/>
      <c r="C173" s="9">
        <v>3143</v>
      </c>
      <c r="D173" s="9">
        <v>5164</v>
      </c>
      <c r="E173" s="9"/>
      <c r="F173" s="13" t="s">
        <v>115</v>
      </c>
      <c r="G173" s="13"/>
      <c r="K173" s="89">
        <f t="shared" si="100"/>
        <v>0</v>
      </c>
      <c r="M173" s="14">
        <f t="shared" si="88"/>
        <v>0</v>
      </c>
      <c r="R173" s="89">
        <f t="shared" si="101"/>
        <v>0</v>
      </c>
      <c r="T173" s="14">
        <f t="shared" si="85"/>
        <v>0</v>
      </c>
      <c r="V173" s="89">
        <f t="shared" si="98"/>
        <v>0</v>
      </c>
      <c r="X173" s="14">
        <f t="shared" si="78"/>
        <v>0</v>
      </c>
      <c r="AB173" s="89">
        <f t="shared" si="99"/>
        <v>0</v>
      </c>
      <c r="AD173" s="14">
        <f t="shared" si="77"/>
        <v>0</v>
      </c>
    </row>
    <row r="174" spans="1:30" x14ac:dyDescent="0.25">
      <c r="A174" s="7">
        <v>167</v>
      </c>
      <c r="B174" s="9"/>
      <c r="C174" s="9">
        <v>3143</v>
      </c>
      <c r="D174" s="9">
        <v>5169</v>
      </c>
      <c r="E174" s="9"/>
      <c r="F174" s="13" t="s">
        <v>116</v>
      </c>
      <c r="G174" s="13" t="s">
        <v>309</v>
      </c>
      <c r="H174" s="87">
        <v>50000</v>
      </c>
      <c r="K174" s="89">
        <f t="shared" si="100"/>
        <v>50000</v>
      </c>
      <c r="M174" s="14">
        <f t="shared" si="88"/>
        <v>0</v>
      </c>
      <c r="R174" s="89">
        <f t="shared" si="101"/>
        <v>50000</v>
      </c>
      <c r="S174" s="90">
        <v>0</v>
      </c>
      <c r="T174" s="14">
        <f t="shared" si="85"/>
        <v>0</v>
      </c>
      <c r="V174" s="89">
        <f t="shared" si="98"/>
        <v>50000</v>
      </c>
      <c r="W174" s="90">
        <v>0</v>
      </c>
      <c r="X174" s="14">
        <f t="shared" si="78"/>
        <v>0</v>
      </c>
      <c r="AB174" s="89">
        <f t="shared" si="99"/>
        <v>50000</v>
      </c>
      <c r="AC174" s="90">
        <v>0</v>
      </c>
      <c r="AD174" s="14">
        <f t="shared" si="77"/>
        <v>0</v>
      </c>
    </row>
    <row r="175" spans="1:30" x14ac:dyDescent="0.25">
      <c r="A175" s="7">
        <v>168</v>
      </c>
      <c r="B175" s="9"/>
      <c r="C175" s="9">
        <v>3143</v>
      </c>
      <c r="D175" s="9">
        <v>5175</v>
      </c>
      <c r="E175" s="9"/>
      <c r="F175" s="13" t="s">
        <v>117</v>
      </c>
      <c r="G175" s="13"/>
      <c r="K175" s="89">
        <f t="shared" si="100"/>
        <v>0</v>
      </c>
      <c r="M175" s="14">
        <f t="shared" si="88"/>
        <v>0</v>
      </c>
      <c r="R175" s="89">
        <f t="shared" si="101"/>
        <v>0</v>
      </c>
      <c r="T175" s="14">
        <f t="shared" si="85"/>
        <v>0</v>
      </c>
      <c r="V175" s="89">
        <f t="shared" si="98"/>
        <v>0</v>
      </c>
      <c r="X175" s="14">
        <f t="shared" si="78"/>
        <v>0</v>
      </c>
      <c r="AB175" s="89">
        <f t="shared" si="99"/>
        <v>0</v>
      </c>
      <c r="AD175" s="14">
        <f t="shared" si="77"/>
        <v>0</v>
      </c>
    </row>
    <row r="176" spans="1:30" x14ac:dyDescent="0.25">
      <c r="A176" s="7">
        <v>169</v>
      </c>
      <c r="B176" s="9"/>
      <c r="C176" s="9">
        <v>3143</v>
      </c>
      <c r="D176" s="9">
        <v>5137</v>
      </c>
      <c r="E176" s="9"/>
      <c r="F176" s="13" t="s">
        <v>118</v>
      </c>
      <c r="G176" s="13"/>
      <c r="K176" s="89">
        <f t="shared" si="100"/>
        <v>0</v>
      </c>
      <c r="M176" s="14">
        <f t="shared" si="88"/>
        <v>0</v>
      </c>
      <c r="R176" s="89">
        <f t="shared" si="101"/>
        <v>0</v>
      </c>
      <c r="T176" s="14">
        <f t="shared" si="85"/>
        <v>0</v>
      </c>
      <c r="V176" s="89">
        <f t="shared" si="98"/>
        <v>0</v>
      </c>
      <c r="X176" s="14">
        <f t="shared" si="78"/>
        <v>0</v>
      </c>
      <c r="AB176" s="89">
        <f t="shared" si="99"/>
        <v>0</v>
      </c>
      <c r="AD176" s="14">
        <f t="shared" si="77"/>
        <v>0</v>
      </c>
    </row>
    <row r="177" spans="1:30" x14ac:dyDescent="0.25">
      <c r="A177" s="7">
        <v>170</v>
      </c>
      <c r="B177" s="9"/>
      <c r="C177" s="9">
        <v>3900</v>
      </c>
      <c r="D177" s="9">
        <v>5499</v>
      </c>
      <c r="E177" s="9"/>
      <c r="F177" s="13" t="s">
        <v>119</v>
      </c>
      <c r="G177" s="31" t="s">
        <v>15</v>
      </c>
      <c r="H177" s="87">
        <v>2000000</v>
      </c>
      <c r="K177" s="89">
        <f t="shared" si="100"/>
        <v>2000000</v>
      </c>
      <c r="L177" s="90">
        <v>2500</v>
      </c>
      <c r="M177" s="14">
        <f t="shared" si="88"/>
        <v>1.25E-3</v>
      </c>
      <c r="R177" s="89">
        <f t="shared" si="101"/>
        <v>2000000</v>
      </c>
      <c r="S177" s="90">
        <v>937500</v>
      </c>
      <c r="T177" s="14">
        <f t="shared" si="85"/>
        <v>0.46875</v>
      </c>
      <c r="V177" s="89">
        <f t="shared" si="98"/>
        <v>2000000</v>
      </c>
      <c r="W177" s="90">
        <v>1382500</v>
      </c>
      <c r="X177" s="14">
        <f t="shared" si="78"/>
        <v>0.69125000000000003</v>
      </c>
      <c r="AB177" s="89">
        <f t="shared" si="99"/>
        <v>2000000</v>
      </c>
      <c r="AC177" s="90">
        <v>1725000</v>
      </c>
      <c r="AD177" s="14">
        <f t="shared" si="77"/>
        <v>0.86250000000000004</v>
      </c>
    </row>
    <row r="178" spans="1:30" x14ac:dyDescent="0.25">
      <c r="A178" s="7">
        <v>171</v>
      </c>
      <c r="B178" s="9"/>
      <c r="C178" s="9">
        <v>3299</v>
      </c>
      <c r="D178" s="9">
        <v>5339</v>
      </c>
      <c r="E178" s="9"/>
      <c r="F178" s="34" t="s">
        <v>120</v>
      </c>
      <c r="G178" s="34"/>
      <c r="K178" s="89">
        <f t="shared" si="100"/>
        <v>0</v>
      </c>
      <c r="M178" s="14">
        <f t="shared" si="88"/>
        <v>0</v>
      </c>
      <c r="R178" s="89">
        <f t="shared" si="101"/>
        <v>0</v>
      </c>
      <c r="S178" s="90">
        <v>0</v>
      </c>
      <c r="T178" s="14">
        <f t="shared" si="85"/>
        <v>0</v>
      </c>
      <c r="V178" s="89">
        <f t="shared" si="98"/>
        <v>0</v>
      </c>
      <c r="W178" s="90">
        <v>0</v>
      </c>
      <c r="X178" s="14">
        <f t="shared" si="78"/>
        <v>0</v>
      </c>
      <c r="AB178" s="89">
        <f t="shared" si="99"/>
        <v>0</v>
      </c>
      <c r="AC178" s="90">
        <v>0</v>
      </c>
      <c r="AD178" s="14">
        <f t="shared" si="77"/>
        <v>0</v>
      </c>
    </row>
    <row r="179" spans="1:30" ht="22.2" customHeight="1" x14ac:dyDescent="0.25">
      <c r="A179" s="7">
        <v>172</v>
      </c>
      <c r="B179" s="9"/>
      <c r="C179" s="9">
        <v>3419</v>
      </c>
      <c r="D179" s="9">
        <v>5222</v>
      </c>
      <c r="E179" s="9"/>
      <c r="F179" s="34" t="s">
        <v>310</v>
      </c>
      <c r="G179" s="34" t="s">
        <v>309</v>
      </c>
      <c r="H179" s="87">
        <v>425000</v>
      </c>
      <c r="I179" s="88">
        <f>27000-27000</f>
        <v>0</v>
      </c>
      <c r="K179" s="89">
        <f t="shared" si="100"/>
        <v>425000</v>
      </c>
      <c r="L179" s="90">
        <v>425000</v>
      </c>
      <c r="M179" s="14">
        <f t="shared" si="88"/>
        <v>1</v>
      </c>
      <c r="N179" s="88">
        <f>27000-27000</f>
        <v>0</v>
      </c>
      <c r="P179" s="88">
        <f>27000-27000</f>
        <v>0</v>
      </c>
      <c r="R179" s="89">
        <f t="shared" si="101"/>
        <v>425000</v>
      </c>
      <c r="S179" s="90">
        <v>425000</v>
      </c>
      <c r="T179" s="14">
        <f t="shared" si="85"/>
        <v>1</v>
      </c>
      <c r="V179" s="89">
        <f t="shared" si="98"/>
        <v>425000</v>
      </c>
      <c r="W179" s="90">
        <v>425000</v>
      </c>
      <c r="X179" s="14">
        <f t="shared" si="78"/>
        <v>1</v>
      </c>
      <c r="AB179" s="89">
        <f t="shared" si="99"/>
        <v>425000</v>
      </c>
      <c r="AC179" s="90">
        <v>425000</v>
      </c>
      <c r="AD179" s="14">
        <f t="shared" si="77"/>
        <v>1</v>
      </c>
    </row>
    <row r="180" spans="1:30" x14ac:dyDescent="0.25">
      <c r="A180" s="7">
        <v>173</v>
      </c>
      <c r="B180" s="9"/>
      <c r="C180" s="9">
        <v>3421</v>
      </c>
      <c r="D180" s="9">
        <v>5222</v>
      </c>
      <c r="E180" s="9"/>
      <c r="F180" s="34" t="s">
        <v>121</v>
      </c>
      <c r="G180" s="34" t="s">
        <v>309</v>
      </c>
      <c r="H180" s="87">
        <v>60000</v>
      </c>
      <c r="K180" s="89">
        <f t="shared" si="100"/>
        <v>60000</v>
      </c>
      <c r="L180" s="90">
        <v>60000</v>
      </c>
      <c r="M180" s="14">
        <f t="shared" si="88"/>
        <v>1</v>
      </c>
      <c r="R180" s="89">
        <f t="shared" si="101"/>
        <v>60000</v>
      </c>
      <c r="S180" s="90">
        <v>60000</v>
      </c>
      <c r="T180" s="14">
        <f t="shared" si="85"/>
        <v>1</v>
      </c>
      <c r="V180" s="89">
        <f t="shared" si="98"/>
        <v>60000</v>
      </c>
      <c r="W180" s="90">
        <v>60000</v>
      </c>
      <c r="X180" s="14">
        <f t="shared" si="78"/>
        <v>1</v>
      </c>
      <c r="AB180" s="89">
        <f t="shared" si="99"/>
        <v>60000</v>
      </c>
      <c r="AC180" s="90">
        <v>60000</v>
      </c>
      <c r="AD180" s="14">
        <f t="shared" si="77"/>
        <v>1</v>
      </c>
    </row>
    <row r="181" spans="1:30" x14ac:dyDescent="0.25">
      <c r="A181" s="7">
        <v>174</v>
      </c>
      <c r="B181" s="9"/>
      <c r="C181" s="9"/>
      <c r="D181" s="9" t="s">
        <v>122</v>
      </c>
      <c r="E181" s="9"/>
      <c r="F181" s="13"/>
      <c r="G181" s="13"/>
      <c r="M181" s="14">
        <f t="shared" si="88"/>
        <v>0</v>
      </c>
      <c r="R181" s="89">
        <f t="shared" si="101"/>
        <v>0</v>
      </c>
      <c r="T181" s="14">
        <f t="shared" si="85"/>
        <v>0</v>
      </c>
      <c r="X181" s="14">
        <f t="shared" si="78"/>
        <v>0</v>
      </c>
      <c r="AB181" s="89">
        <f t="shared" si="99"/>
        <v>0</v>
      </c>
      <c r="AD181" s="14">
        <f t="shared" si="77"/>
        <v>0</v>
      </c>
    </row>
    <row r="182" spans="1:30" x14ac:dyDescent="0.25">
      <c r="A182" s="7">
        <v>175</v>
      </c>
      <c r="B182" s="9"/>
      <c r="C182" s="9">
        <v>3421</v>
      </c>
      <c r="D182" s="9">
        <v>5021</v>
      </c>
      <c r="E182" s="9"/>
      <c r="F182" s="13" t="s">
        <v>123</v>
      </c>
      <c r="G182" s="13"/>
      <c r="H182" s="87">
        <v>131000</v>
      </c>
      <c r="K182" s="89">
        <f t="shared" si="100"/>
        <v>131000</v>
      </c>
      <c r="L182" s="90">
        <v>13250</v>
      </c>
      <c r="M182" s="14">
        <f t="shared" si="88"/>
        <v>0.10114503816793893</v>
      </c>
      <c r="R182" s="89">
        <f t="shared" si="101"/>
        <v>131000</v>
      </c>
      <c r="S182" s="90">
        <v>44563</v>
      </c>
      <c r="T182" s="14">
        <f t="shared" si="85"/>
        <v>0.34017557251908398</v>
      </c>
      <c r="V182" s="89">
        <f t="shared" si="98"/>
        <v>131000</v>
      </c>
      <c r="W182" s="90">
        <v>76438</v>
      </c>
      <c r="X182" s="14">
        <f t="shared" si="78"/>
        <v>0.58349618320610686</v>
      </c>
      <c r="AB182" s="89">
        <f t="shared" si="99"/>
        <v>131000</v>
      </c>
      <c r="AC182" s="90">
        <v>114813</v>
      </c>
      <c r="AD182" s="14">
        <f t="shared" si="77"/>
        <v>0.87643511450381684</v>
      </c>
    </row>
    <row r="183" spans="1:30" x14ac:dyDescent="0.25">
      <c r="A183" s="7">
        <v>176</v>
      </c>
      <c r="B183" s="9"/>
      <c r="C183" s="9">
        <v>3421</v>
      </c>
      <c r="D183" s="9">
        <v>5031</v>
      </c>
      <c r="E183" s="9"/>
      <c r="F183" s="13" t="s">
        <v>124</v>
      </c>
      <c r="G183" s="13"/>
      <c r="H183" s="87">
        <v>32500</v>
      </c>
      <c r="K183" s="89">
        <f t="shared" si="100"/>
        <v>32500</v>
      </c>
      <c r="M183" s="14">
        <f t="shared" si="88"/>
        <v>0</v>
      </c>
      <c r="R183" s="89">
        <f t="shared" si="101"/>
        <v>32500</v>
      </c>
      <c r="S183" s="90">
        <v>2899</v>
      </c>
      <c r="T183" s="14">
        <f t="shared" si="85"/>
        <v>8.9200000000000002E-2</v>
      </c>
      <c r="V183" s="89">
        <f t="shared" si="98"/>
        <v>32500</v>
      </c>
      <c r="W183" s="90">
        <v>6929</v>
      </c>
      <c r="X183" s="14">
        <f t="shared" si="78"/>
        <v>0.2132</v>
      </c>
      <c r="AB183" s="89">
        <f t="shared" si="99"/>
        <v>32500</v>
      </c>
      <c r="AC183" s="90">
        <v>9719</v>
      </c>
      <c r="AD183" s="14">
        <f t="shared" si="77"/>
        <v>0.29904615384615385</v>
      </c>
    </row>
    <row r="184" spans="1:30" x14ac:dyDescent="0.25">
      <c r="A184" s="7">
        <v>177</v>
      </c>
      <c r="B184" s="9"/>
      <c r="C184" s="9">
        <v>3421</v>
      </c>
      <c r="D184" s="9">
        <v>5032</v>
      </c>
      <c r="E184" s="9"/>
      <c r="F184" s="13" t="s">
        <v>125</v>
      </c>
      <c r="G184" s="13"/>
      <c r="H184" s="87">
        <v>11000</v>
      </c>
      <c r="K184" s="89">
        <f t="shared" si="100"/>
        <v>11000</v>
      </c>
      <c r="M184" s="14">
        <f t="shared" si="88"/>
        <v>0</v>
      </c>
      <c r="R184" s="89">
        <f t="shared" si="101"/>
        <v>11000</v>
      </c>
      <c r="S184" s="90">
        <v>1052</v>
      </c>
      <c r="T184" s="14">
        <f t="shared" si="85"/>
        <v>9.563636363636363E-2</v>
      </c>
      <c r="V184" s="89">
        <f t="shared" si="98"/>
        <v>11000</v>
      </c>
      <c r="W184" s="90">
        <v>2514</v>
      </c>
      <c r="X184" s="14">
        <f t="shared" si="78"/>
        <v>0.22854545454545455</v>
      </c>
      <c r="AB184" s="89">
        <f t="shared" si="99"/>
        <v>11000</v>
      </c>
      <c r="AC184" s="90">
        <v>3526</v>
      </c>
      <c r="AD184" s="14">
        <f t="shared" si="77"/>
        <v>0.32054545454545452</v>
      </c>
    </row>
    <row r="185" spans="1:30" x14ac:dyDescent="0.25">
      <c r="A185" s="7">
        <v>178</v>
      </c>
      <c r="B185" s="9"/>
      <c r="C185" s="9">
        <v>3421</v>
      </c>
      <c r="D185" s="9">
        <v>5137</v>
      </c>
      <c r="E185" s="9"/>
      <c r="F185" s="13" t="s">
        <v>126</v>
      </c>
      <c r="G185" s="13"/>
      <c r="H185" s="87">
        <v>50000</v>
      </c>
      <c r="K185" s="89">
        <f t="shared" si="100"/>
        <v>50000</v>
      </c>
      <c r="M185" s="14">
        <f t="shared" si="88"/>
        <v>0</v>
      </c>
      <c r="R185" s="89">
        <f t="shared" si="101"/>
        <v>50000</v>
      </c>
      <c r="S185" s="90">
        <v>0</v>
      </c>
      <c r="T185" s="14">
        <f t="shared" si="85"/>
        <v>0</v>
      </c>
      <c r="V185" s="89">
        <f t="shared" si="98"/>
        <v>50000</v>
      </c>
      <c r="W185" s="90">
        <v>0</v>
      </c>
      <c r="X185" s="14">
        <f t="shared" si="78"/>
        <v>0</v>
      </c>
      <c r="AB185" s="89">
        <f t="shared" si="99"/>
        <v>50000</v>
      </c>
      <c r="AC185" s="90">
        <v>0</v>
      </c>
      <c r="AD185" s="14">
        <f t="shared" si="77"/>
        <v>0</v>
      </c>
    </row>
    <row r="186" spans="1:30" x14ac:dyDescent="0.25">
      <c r="A186" s="7">
        <v>179</v>
      </c>
      <c r="B186" s="9"/>
      <c r="C186" s="9">
        <v>3421</v>
      </c>
      <c r="D186" s="9">
        <v>5139</v>
      </c>
      <c r="E186" s="9"/>
      <c r="F186" s="13" t="s">
        <v>127</v>
      </c>
      <c r="G186" s="13"/>
      <c r="H186" s="87">
        <v>10000</v>
      </c>
      <c r="K186" s="89">
        <f t="shared" si="100"/>
        <v>10000</v>
      </c>
      <c r="L186" s="90">
        <v>200</v>
      </c>
      <c r="M186" s="14">
        <f t="shared" si="88"/>
        <v>0.02</v>
      </c>
      <c r="R186" s="89">
        <f t="shared" si="101"/>
        <v>10000</v>
      </c>
      <c r="S186" s="90">
        <v>6589.8</v>
      </c>
      <c r="T186" s="14">
        <f t="shared" si="85"/>
        <v>0.65898000000000001</v>
      </c>
      <c r="V186" s="89">
        <f t="shared" si="98"/>
        <v>10000</v>
      </c>
      <c r="W186" s="90">
        <v>8386.7999999999993</v>
      </c>
      <c r="X186" s="14">
        <f t="shared" si="78"/>
        <v>0.83867999999999998</v>
      </c>
      <c r="AB186" s="89">
        <f t="shared" si="99"/>
        <v>10000</v>
      </c>
      <c r="AC186" s="90">
        <v>8386.7999999999993</v>
      </c>
      <c r="AD186" s="14">
        <f t="shared" si="77"/>
        <v>0.83867999999999998</v>
      </c>
    </row>
    <row r="187" spans="1:30" x14ac:dyDescent="0.25">
      <c r="A187" s="7">
        <v>180</v>
      </c>
      <c r="B187" s="9"/>
      <c r="C187" s="9">
        <v>3421</v>
      </c>
      <c r="D187" s="9">
        <v>5154</v>
      </c>
      <c r="E187" s="9"/>
      <c r="F187" s="13" t="s">
        <v>128</v>
      </c>
      <c r="G187" s="13"/>
      <c r="K187" s="89">
        <f t="shared" si="100"/>
        <v>0</v>
      </c>
      <c r="M187" s="14">
        <f t="shared" si="88"/>
        <v>0</v>
      </c>
      <c r="R187" s="89">
        <f t="shared" si="101"/>
        <v>0</v>
      </c>
      <c r="T187" s="14">
        <f t="shared" si="85"/>
        <v>0</v>
      </c>
      <c r="V187" s="89">
        <f t="shared" si="98"/>
        <v>0</v>
      </c>
      <c r="X187" s="14">
        <f t="shared" si="78"/>
        <v>0</v>
      </c>
      <c r="AB187" s="89">
        <f t="shared" si="99"/>
        <v>0</v>
      </c>
      <c r="AD187" s="14">
        <f t="shared" si="77"/>
        <v>0</v>
      </c>
    </row>
    <row r="188" spans="1:30" x14ac:dyDescent="0.25">
      <c r="A188" s="7">
        <v>181</v>
      </c>
      <c r="B188" s="9"/>
      <c r="C188" s="9">
        <v>3421</v>
      </c>
      <c r="D188" s="9">
        <v>5164</v>
      </c>
      <c r="E188" s="9"/>
      <c r="F188" s="13" t="s">
        <v>129</v>
      </c>
      <c r="G188" s="13"/>
      <c r="H188" s="87">
        <v>6300</v>
      </c>
      <c r="K188" s="89">
        <f t="shared" si="100"/>
        <v>6300</v>
      </c>
      <c r="M188" s="14">
        <f t="shared" si="88"/>
        <v>0</v>
      </c>
      <c r="R188" s="89">
        <f t="shared" si="101"/>
        <v>6300</v>
      </c>
      <c r="T188" s="14">
        <f t="shared" si="85"/>
        <v>0</v>
      </c>
      <c r="V188" s="89">
        <f t="shared" si="98"/>
        <v>6300</v>
      </c>
      <c r="W188" s="90">
        <v>2442</v>
      </c>
      <c r="X188" s="14">
        <f t="shared" si="78"/>
        <v>0.38761904761904764</v>
      </c>
      <c r="AB188" s="89">
        <f t="shared" si="99"/>
        <v>6300</v>
      </c>
      <c r="AC188" s="90">
        <v>2442</v>
      </c>
      <c r="AD188" s="14">
        <f t="shared" si="77"/>
        <v>0.38761904761904764</v>
      </c>
    </row>
    <row r="189" spans="1:30" x14ac:dyDescent="0.25">
      <c r="A189" s="7">
        <v>182</v>
      </c>
      <c r="B189" s="9"/>
      <c r="C189" s="9">
        <v>3421</v>
      </c>
      <c r="D189" s="9">
        <v>5169</v>
      </c>
      <c r="E189" s="9"/>
      <c r="F189" s="13" t="s">
        <v>130</v>
      </c>
      <c r="G189" s="13"/>
      <c r="H189" s="87">
        <v>50000</v>
      </c>
      <c r="K189" s="89">
        <f t="shared" si="100"/>
        <v>50000</v>
      </c>
      <c r="M189" s="14">
        <f t="shared" si="88"/>
        <v>0</v>
      </c>
      <c r="R189" s="89">
        <f t="shared" si="101"/>
        <v>50000</v>
      </c>
      <c r="T189" s="14">
        <f t="shared" si="85"/>
        <v>0</v>
      </c>
      <c r="V189" s="89">
        <f t="shared" si="98"/>
        <v>50000</v>
      </c>
      <c r="W189" s="90">
        <v>17883.8</v>
      </c>
      <c r="X189" s="14">
        <f t="shared" si="78"/>
        <v>0.35767599999999999</v>
      </c>
      <c r="AB189" s="89">
        <f t="shared" si="99"/>
        <v>50000</v>
      </c>
      <c r="AC189" s="90">
        <v>17883.8</v>
      </c>
      <c r="AD189" s="14">
        <f t="shared" si="77"/>
        <v>0.35767599999999999</v>
      </c>
    </row>
    <row r="190" spans="1:30" x14ac:dyDescent="0.25">
      <c r="A190" s="7">
        <v>183</v>
      </c>
      <c r="B190" s="9"/>
      <c r="C190" s="9">
        <v>3421</v>
      </c>
      <c r="D190" s="9">
        <v>5171</v>
      </c>
      <c r="E190" s="9"/>
      <c r="F190" s="13" t="s">
        <v>94</v>
      </c>
      <c r="G190" s="13"/>
      <c r="H190" s="87">
        <v>200000</v>
      </c>
      <c r="K190" s="89">
        <f t="shared" si="100"/>
        <v>200000</v>
      </c>
      <c r="L190" s="90">
        <v>29918</v>
      </c>
      <c r="M190" s="14">
        <f t="shared" si="88"/>
        <v>0.14959</v>
      </c>
      <c r="R190" s="89">
        <f t="shared" si="101"/>
        <v>200000</v>
      </c>
      <c r="S190" s="90">
        <v>123262</v>
      </c>
      <c r="T190" s="14">
        <f t="shared" si="85"/>
        <v>0.61631000000000002</v>
      </c>
      <c r="V190" s="89">
        <f t="shared" si="98"/>
        <v>200000</v>
      </c>
      <c r="W190" s="90">
        <v>127332</v>
      </c>
      <c r="X190" s="14">
        <f t="shared" si="78"/>
        <v>0.63666</v>
      </c>
      <c r="AB190" s="89">
        <f t="shared" si="99"/>
        <v>200000</v>
      </c>
      <c r="AC190" s="90">
        <v>197294.2</v>
      </c>
      <c r="AD190" s="14">
        <f t="shared" si="77"/>
        <v>0.9864710000000001</v>
      </c>
    </row>
    <row r="191" spans="1:30" x14ac:dyDescent="0.25">
      <c r="A191" s="7">
        <v>184</v>
      </c>
      <c r="B191" s="9"/>
      <c r="C191" s="9"/>
      <c r="D191" s="9"/>
      <c r="E191" s="9"/>
      <c r="F191" s="35" t="s">
        <v>131</v>
      </c>
      <c r="G191" s="35"/>
      <c r="H191" s="66">
        <f>SUM(H182:H190)</f>
        <v>490800</v>
      </c>
      <c r="I191" s="55">
        <f>SUM(I182:I190)</f>
        <v>0</v>
      </c>
      <c r="J191" s="55">
        <f>SUM(J182:J190)</f>
        <v>0</v>
      </c>
      <c r="K191" s="50">
        <f>SUM(K182:K190)</f>
        <v>490800</v>
      </c>
      <c r="L191" s="102">
        <f>SUM(L182:L190)</f>
        <v>43368</v>
      </c>
      <c r="M191" s="14">
        <f t="shared" si="88"/>
        <v>8.8361858190709047E-2</v>
      </c>
      <c r="N191" s="55">
        <f t="shared" ref="N191:S191" si="102">SUM(N182:N190)</f>
        <v>0</v>
      </c>
      <c r="O191" s="55">
        <f t="shared" si="102"/>
        <v>0</v>
      </c>
      <c r="P191" s="55">
        <f t="shared" si="102"/>
        <v>0</v>
      </c>
      <c r="Q191" s="55">
        <f t="shared" si="102"/>
        <v>0</v>
      </c>
      <c r="R191" s="50">
        <f t="shared" si="102"/>
        <v>490800</v>
      </c>
      <c r="S191" s="102">
        <f t="shared" si="102"/>
        <v>178365.8</v>
      </c>
      <c r="T191" s="14">
        <f t="shared" si="85"/>
        <v>0.36341850040749796</v>
      </c>
      <c r="U191" s="55">
        <f t="shared" ref="U191" si="103">SUM(U182:U190)</f>
        <v>0</v>
      </c>
      <c r="V191" s="50">
        <f t="shared" ref="V191" si="104">SUM(V182:V190)</f>
        <v>490800</v>
      </c>
      <c r="W191" s="102">
        <f t="shared" ref="W191" si="105">SUM(W182:W190)</f>
        <v>241925.6</v>
      </c>
      <c r="X191" s="14">
        <f t="shared" si="78"/>
        <v>0.49292094539527304</v>
      </c>
      <c r="Y191" s="55">
        <f t="shared" ref="Y191:AC191" si="106">SUM(Y182:Y190)</f>
        <v>0</v>
      </c>
      <c r="Z191" s="55">
        <f t="shared" si="106"/>
        <v>0</v>
      </c>
      <c r="AA191" s="55">
        <f t="shared" si="106"/>
        <v>0</v>
      </c>
      <c r="AB191" s="50">
        <f t="shared" si="106"/>
        <v>490800</v>
      </c>
      <c r="AC191" s="102">
        <f t="shared" si="106"/>
        <v>354064.8</v>
      </c>
      <c r="AD191" s="14">
        <f t="shared" si="77"/>
        <v>0.72140342298288507</v>
      </c>
    </row>
    <row r="192" spans="1:30" ht="13.8" thickBot="1" x14ac:dyDescent="0.3">
      <c r="A192" s="7">
        <v>185</v>
      </c>
      <c r="B192" s="9"/>
      <c r="C192" s="16" t="s">
        <v>132</v>
      </c>
      <c r="D192" s="16"/>
      <c r="E192" s="16"/>
      <c r="F192" s="17"/>
      <c r="G192" s="17"/>
      <c r="H192" s="65">
        <f>SUM(H159:H190)</f>
        <v>10160800</v>
      </c>
      <c r="I192" s="78">
        <f>SUM(I159:I190)</f>
        <v>0</v>
      </c>
      <c r="J192" s="78">
        <f>SUM(J159:J190)</f>
        <v>86300</v>
      </c>
      <c r="K192" s="18">
        <f>SUM(K159:K190)</f>
        <v>10247100</v>
      </c>
      <c r="L192" s="101">
        <f>SUM(L159:L190)</f>
        <v>2142118</v>
      </c>
      <c r="M192" s="14">
        <f t="shared" si="88"/>
        <v>0.20904626674864107</v>
      </c>
      <c r="N192" s="78">
        <f t="shared" ref="N192:S192" si="107">SUM(N159:N190)</f>
        <v>792900</v>
      </c>
      <c r="O192" s="78">
        <f t="shared" si="107"/>
        <v>1672200</v>
      </c>
      <c r="P192" s="78">
        <f t="shared" si="107"/>
        <v>0</v>
      </c>
      <c r="Q192" s="78">
        <f t="shared" si="107"/>
        <v>0</v>
      </c>
      <c r="R192" s="18">
        <f t="shared" si="107"/>
        <v>12712200</v>
      </c>
      <c r="S192" s="101">
        <f t="shared" si="107"/>
        <v>5281328</v>
      </c>
      <c r="T192" s="112">
        <f t="shared" si="85"/>
        <v>0.41545350136089743</v>
      </c>
      <c r="U192" s="78">
        <f t="shared" ref="U192:W192" si="108">SUM(U159:U190)</f>
        <v>3616000</v>
      </c>
      <c r="V192" s="18">
        <f t="shared" si="108"/>
        <v>16328200</v>
      </c>
      <c r="W192" s="101">
        <f t="shared" si="108"/>
        <v>8314765.0800000001</v>
      </c>
      <c r="X192" s="112">
        <f t="shared" si="78"/>
        <v>0.50922729265932554</v>
      </c>
      <c r="Y192" s="78">
        <f t="shared" ref="Y192:AC192" si="109">SUM(Y159:Y190)</f>
        <v>0</v>
      </c>
      <c r="Z192" s="78">
        <f t="shared" si="109"/>
        <v>0</v>
      </c>
      <c r="AA192" s="78">
        <f t="shared" si="109"/>
        <v>0</v>
      </c>
      <c r="AB192" s="18">
        <f t="shared" si="109"/>
        <v>16328200</v>
      </c>
      <c r="AC192" s="101">
        <f t="shared" si="109"/>
        <v>15163705.120000001</v>
      </c>
      <c r="AD192" s="112">
        <f t="shared" si="77"/>
        <v>0.92868198086745635</v>
      </c>
    </row>
    <row r="193" spans="1:30" ht="13.8" thickTop="1" x14ac:dyDescent="0.25">
      <c r="A193" s="7">
        <v>186</v>
      </c>
      <c r="B193" s="9"/>
      <c r="C193" s="9"/>
      <c r="D193" s="9"/>
      <c r="E193" s="9"/>
      <c r="F193" s="13"/>
      <c r="G193" s="13"/>
      <c r="M193" s="14">
        <f t="shared" si="88"/>
        <v>0</v>
      </c>
      <c r="T193" s="14">
        <f t="shared" si="85"/>
        <v>0</v>
      </c>
      <c r="X193" s="14">
        <f t="shared" si="78"/>
        <v>0</v>
      </c>
      <c r="AD193" s="14">
        <f t="shared" si="77"/>
        <v>0</v>
      </c>
    </row>
    <row r="194" spans="1:30" x14ac:dyDescent="0.25">
      <c r="A194" s="7">
        <v>187</v>
      </c>
      <c r="B194" s="9" t="s">
        <v>133</v>
      </c>
      <c r="C194" s="9"/>
      <c r="D194" s="9"/>
      <c r="E194" s="9"/>
      <c r="F194" s="13"/>
      <c r="G194" s="13"/>
      <c r="M194" s="14">
        <f t="shared" si="88"/>
        <v>0</v>
      </c>
      <c r="T194" s="14">
        <f t="shared" si="85"/>
        <v>0</v>
      </c>
      <c r="X194" s="14">
        <f t="shared" si="78"/>
        <v>0</v>
      </c>
      <c r="AD194" s="14">
        <f t="shared" si="77"/>
        <v>0</v>
      </c>
    </row>
    <row r="195" spans="1:30" ht="13.2" customHeight="1" x14ac:dyDescent="0.25">
      <c r="A195" s="7">
        <v>188</v>
      </c>
      <c r="B195" s="9"/>
      <c r="C195" s="9">
        <v>4319</v>
      </c>
      <c r="D195" s="9">
        <v>5021</v>
      </c>
      <c r="E195" s="9"/>
      <c r="F195" s="34" t="s">
        <v>134</v>
      </c>
      <c r="G195" s="34"/>
      <c r="K195" s="89">
        <f t="shared" ref="K195:K214" si="110">H195+I195+J195</f>
        <v>0</v>
      </c>
      <c r="L195" s="90">
        <v>14800</v>
      </c>
      <c r="M195" s="14">
        <f t="shared" si="88"/>
        <v>0</v>
      </c>
      <c r="P195" s="88">
        <v>70000</v>
      </c>
      <c r="R195" s="89">
        <f t="shared" ref="R195:R214" si="111">H195+I195+J195+N195+O195+P195+Q195</f>
        <v>70000</v>
      </c>
      <c r="S195" s="90">
        <v>36850</v>
      </c>
      <c r="T195" s="14">
        <f t="shared" si="85"/>
        <v>0.52642857142857147</v>
      </c>
      <c r="V195" s="89">
        <f t="shared" ref="V195:V214" si="112">H195+I195+J195+N195+O195+P195+Q195+U195</f>
        <v>70000</v>
      </c>
      <c r="W195" s="90">
        <v>43150</v>
      </c>
      <c r="X195" s="14">
        <f t="shared" si="78"/>
        <v>0.61642857142857144</v>
      </c>
      <c r="AB195" s="89">
        <f t="shared" ref="AB195:AB214" si="113">H195+I195+J195+N195+O195+P195+Q195+U195+Y195+Z195+AA195</f>
        <v>70000</v>
      </c>
      <c r="AC195" s="90">
        <v>63325</v>
      </c>
      <c r="AD195" s="14">
        <f t="shared" si="77"/>
        <v>0.90464285714285719</v>
      </c>
    </row>
    <row r="196" spans="1:30" x14ac:dyDescent="0.25">
      <c r="A196" s="7">
        <v>189</v>
      </c>
      <c r="B196" s="9"/>
      <c r="C196" s="9">
        <v>4319</v>
      </c>
      <c r="D196" s="9">
        <v>5031</v>
      </c>
      <c r="E196" s="9"/>
      <c r="F196" s="34" t="s">
        <v>135</v>
      </c>
      <c r="G196" s="34"/>
      <c r="K196" s="89">
        <f t="shared" si="110"/>
        <v>0</v>
      </c>
      <c r="M196" s="14">
        <f t="shared" si="88"/>
        <v>0</v>
      </c>
      <c r="R196" s="89">
        <f t="shared" si="111"/>
        <v>0</v>
      </c>
      <c r="T196" s="14">
        <f t="shared" si="85"/>
        <v>0</v>
      </c>
      <c r="V196" s="89">
        <f t="shared" si="112"/>
        <v>0</v>
      </c>
      <c r="X196" s="14">
        <f t="shared" si="78"/>
        <v>0</v>
      </c>
      <c r="AB196" s="89">
        <f t="shared" si="113"/>
        <v>0</v>
      </c>
      <c r="AD196" s="14">
        <f t="shared" si="77"/>
        <v>0</v>
      </c>
    </row>
    <row r="197" spans="1:30" x14ac:dyDescent="0.25">
      <c r="A197" s="7">
        <v>190</v>
      </c>
      <c r="B197" s="9"/>
      <c r="C197" s="9">
        <v>4319</v>
      </c>
      <c r="D197" s="9">
        <v>5032</v>
      </c>
      <c r="E197" s="9"/>
      <c r="F197" s="34" t="s">
        <v>91</v>
      </c>
      <c r="G197" s="34"/>
      <c r="K197" s="89">
        <f t="shared" si="110"/>
        <v>0</v>
      </c>
      <c r="M197" s="14">
        <f t="shared" si="88"/>
        <v>0</v>
      </c>
      <c r="R197" s="89">
        <f t="shared" si="111"/>
        <v>0</v>
      </c>
      <c r="T197" s="14">
        <f t="shared" si="85"/>
        <v>0</v>
      </c>
      <c r="V197" s="89">
        <f t="shared" si="112"/>
        <v>0</v>
      </c>
      <c r="X197" s="14">
        <f t="shared" si="78"/>
        <v>0</v>
      </c>
      <c r="AB197" s="89">
        <f t="shared" si="113"/>
        <v>0</v>
      </c>
      <c r="AD197" s="14">
        <f t="shared" si="77"/>
        <v>0</v>
      </c>
    </row>
    <row r="198" spans="1:30" ht="13.2" customHeight="1" x14ac:dyDescent="0.25">
      <c r="A198" s="7">
        <v>191</v>
      </c>
      <c r="B198" s="9"/>
      <c r="C198" s="9">
        <v>4319</v>
      </c>
      <c r="D198" s="9">
        <v>5164</v>
      </c>
      <c r="E198" s="9"/>
      <c r="F198" s="13" t="s">
        <v>136</v>
      </c>
      <c r="G198" s="13"/>
      <c r="K198" s="89">
        <f t="shared" si="110"/>
        <v>0</v>
      </c>
      <c r="M198" s="14">
        <f t="shared" si="88"/>
        <v>0</v>
      </c>
      <c r="R198" s="89">
        <f t="shared" si="111"/>
        <v>0</v>
      </c>
      <c r="T198" s="14">
        <f t="shared" si="85"/>
        <v>0</v>
      </c>
      <c r="V198" s="89">
        <f t="shared" si="112"/>
        <v>0</v>
      </c>
      <c r="X198" s="14">
        <f t="shared" si="78"/>
        <v>0</v>
      </c>
      <c r="AB198" s="89">
        <f t="shared" si="113"/>
        <v>0</v>
      </c>
      <c r="AD198" s="14">
        <f t="shared" si="77"/>
        <v>0</v>
      </c>
    </row>
    <row r="199" spans="1:30" x14ac:dyDescent="0.25">
      <c r="A199" s="7">
        <v>192</v>
      </c>
      <c r="B199" s="9"/>
      <c r="C199" s="9">
        <v>4319</v>
      </c>
      <c r="D199" s="9">
        <v>5041</v>
      </c>
      <c r="E199" s="9"/>
      <c r="F199" s="13" t="s">
        <v>137</v>
      </c>
      <c r="G199" s="13"/>
      <c r="K199" s="89">
        <f t="shared" si="110"/>
        <v>0</v>
      </c>
      <c r="M199" s="14">
        <f t="shared" si="88"/>
        <v>0</v>
      </c>
      <c r="P199" s="88">
        <v>16000</v>
      </c>
      <c r="R199" s="89">
        <f t="shared" si="111"/>
        <v>16000</v>
      </c>
      <c r="S199" s="90">
        <v>13782.87</v>
      </c>
      <c r="T199" s="14">
        <f t="shared" si="85"/>
        <v>0.86142937500000005</v>
      </c>
      <c r="V199" s="89">
        <f t="shared" si="112"/>
        <v>16000</v>
      </c>
      <c r="W199" s="90">
        <v>13782.87</v>
      </c>
      <c r="X199" s="14">
        <f t="shared" si="78"/>
        <v>0.86142937500000005</v>
      </c>
      <c r="AB199" s="89">
        <f t="shared" si="113"/>
        <v>16000</v>
      </c>
      <c r="AC199" s="90">
        <v>18782.87</v>
      </c>
      <c r="AD199" s="14">
        <f t="shared" si="77"/>
        <v>1.1739293749999999</v>
      </c>
    </row>
    <row r="200" spans="1:30" x14ac:dyDescent="0.25">
      <c r="A200" s="7">
        <v>193</v>
      </c>
      <c r="B200" s="9"/>
      <c r="C200" s="9">
        <v>4319</v>
      </c>
      <c r="D200" s="9">
        <v>5137</v>
      </c>
      <c r="E200" s="9"/>
      <c r="F200" s="13" t="s">
        <v>138</v>
      </c>
      <c r="G200" s="13"/>
      <c r="K200" s="89">
        <f t="shared" si="110"/>
        <v>0</v>
      </c>
      <c r="M200" s="14">
        <f t="shared" si="88"/>
        <v>0</v>
      </c>
      <c r="R200" s="89">
        <f t="shared" si="111"/>
        <v>0</v>
      </c>
      <c r="T200" s="14">
        <f t="shared" si="85"/>
        <v>0</v>
      </c>
      <c r="V200" s="89">
        <f t="shared" si="112"/>
        <v>0</v>
      </c>
      <c r="X200" s="14">
        <f t="shared" si="78"/>
        <v>0</v>
      </c>
      <c r="AB200" s="89">
        <f t="shared" si="113"/>
        <v>0</v>
      </c>
      <c r="AD200" s="14">
        <f t="shared" si="77"/>
        <v>0</v>
      </c>
    </row>
    <row r="201" spans="1:30" x14ac:dyDescent="0.25">
      <c r="A201" s="7">
        <v>194</v>
      </c>
      <c r="B201" s="9"/>
      <c r="C201" s="9">
        <v>4319</v>
      </c>
      <c r="D201" s="9">
        <v>5139</v>
      </c>
      <c r="E201" s="9"/>
      <c r="F201" s="13" t="s">
        <v>127</v>
      </c>
      <c r="G201" s="13"/>
      <c r="K201" s="89">
        <f t="shared" si="110"/>
        <v>0</v>
      </c>
      <c r="L201" s="90">
        <v>8307.5</v>
      </c>
      <c r="M201" s="14">
        <f t="shared" si="88"/>
        <v>0</v>
      </c>
      <c r="P201" s="88">
        <v>25000</v>
      </c>
      <c r="R201" s="89">
        <f t="shared" si="111"/>
        <v>25000</v>
      </c>
      <c r="S201" s="90">
        <v>19225.5</v>
      </c>
      <c r="T201" s="14">
        <f t="shared" si="85"/>
        <v>0.76902000000000004</v>
      </c>
      <c r="V201" s="89">
        <f t="shared" si="112"/>
        <v>25000</v>
      </c>
      <c r="W201" s="90">
        <v>19225.5</v>
      </c>
      <c r="X201" s="14">
        <f t="shared" si="78"/>
        <v>0.76902000000000004</v>
      </c>
      <c r="AB201" s="89">
        <f t="shared" si="113"/>
        <v>25000</v>
      </c>
      <c r="AC201" s="90">
        <v>30746.63</v>
      </c>
      <c r="AD201" s="14">
        <f t="shared" ref="AD201:AD264" si="114">IF($AB201=0,0,AC201/$AB201)</f>
        <v>1.2298652000000001</v>
      </c>
    </row>
    <row r="202" spans="1:30" x14ac:dyDescent="0.25">
      <c r="A202" s="7">
        <v>195</v>
      </c>
      <c r="B202" s="9"/>
      <c r="C202" s="9">
        <v>4319</v>
      </c>
      <c r="D202" s="9">
        <v>5169</v>
      </c>
      <c r="E202" s="9"/>
      <c r="F202" s="13" t="s">
        <v>92</v>
      </c>
      <c r="G202" s="13"/>
      <c r="H202" s="87">
        <v>300000</v>
      </c>
      <c r="K202" s="89">
        <f t="shared" si="110"/>
        <v>300000</v>
      </c>
      <c r="L202" s="90">
        <v>4300</v>
      </c>
      <c r="M202" s="14">
        <f t="shared" si="88"/>
        <v>1.4333333333333333E-2</v>
      </c>
      <c r="P202" s="88">
        <v>-200000</v>
      </c>
      <c r="R202" s="89">
        <f t="shared" si="111"/>
        <v>100000</v>
      </c>
      <c r="S202" s="90">
        <v>63291</v>
      </c>
      <c r="T202" s="14">
        <f t="shared" si="85"/>
        <v>0.63290999999999997</v>
      </c>
      <c r="V202" s="89">
        <f t="shared" si="112"/>
        <v>100000</v>
      </c>
      <c r="W202" s="90">
        <v>63541</v>
      </c>
      <c r="X202" s="14">
        <f t="shared" si="78"/>
        <v>0.63541000000000003</v>
      </c>
      <c r="AB202" s="89">
        <f t="shared" si="113"/>
        <v>100000</v>
      </c>
      <c r="AC202" s="90">
        <v>107360</v>
      </c>
      <c r="AD202" s="14">
        <f t="shared" si="114"/>
        <v>1.0736000000000001</v>
      </c>
    </row>
    <row r="203" spans="1:30" x14ac:dyDescent="0.25">
      <c r="A203" s="7">
        <v>196</v>
      </c>
      <c r="B203" s="9"/>
      <c r="C203" s="9">
        <v>4319</v>
      </c>
      <c r="D203" s="9">
        <v>5175</v>
      </c>
      <c r="E203" s="9"/>
      <c r="F203" s="13" t="s">
        <v>139</v>
      </c>
      <c r="G203" s="13"/>
      <c r="K203" s="89">
        <f t="shared" si="110"/>
        <v>0</v>
      </c>
      <c r="L203" s="90">
        <v>12125.5</v>
      </c>
      <c r="M203" s="14">
        <f t="shared" si="88"/>
        <v>0</v>
      </c>
      <c r="P203" s="88">
        <v>43000</v>
      </c>
      <c r="R203" s="89">
        <f t="shared" si="111"/>
        <v>43000</v>
      </c>
      <c r="S203" s="90">
        <v>17404.5</v>
      </c>
      <c r="T203" s="14">
        <f t="shared" si="85"/>
        <v>0.40475581395348836</v>
      </c>
      <c r="V203" s="89">
        <f t="shared" si="112"/>
        <v>43000</v>
      </c>
      <c r="W203" s="90">
        <v>17404.5</v>
      </c>
      <c r="X203" s="14">
        <f t="shared" si="78"/>
        <v>0.40475581395348836</v>
      </c>
      <c r="AB203" s="89">
        <f t="shared" si="113"/>
        <v>43000</v>
      </c>
      <c r="AC203" s="90">
        <v>42045.5</v>
      </c>
      <c r="AD203" s="14">
        <f t="shared" si="114"/>
        <v>0.97780232558139535</v>
      </c>
    </row>
    <row r="204" spans="1:30" x14ac:dyDescent="0.25">
      <c r="A204" s="7">
        <v>197</v>
      </c>
      <c r="B204" s="9"/>
      <c r="C204" s="9">
        <v>4319</v>
      </c>
      <c r="D204" s="9">
        <v>5194</v>
      </c>
      <c r="E204" s="9"/>
      <c r="F204" s="13" t="s">
        <v>140</v>
      </c>
      <c r="G204" s="13"/>
      <c r="K204" s="89">
        <f t="shared" si="110"/>
        <v>0</v>
      </c>
      <c r="L204" s="90">
        <v>11000</v>
      </c>
      <c r="M204" s="14">
        <f t="shared" si="88"/>
        <v>0</v>
      </c>
      <c r="P204" s="88">
        <v>21000</v>
      </c>
      <c r="R204" s="89">
        <f t="shared" si="111"/>
        <v>21000</v>
      </c>
      <c r="S204" s="90">
        <v>21000</v>
      </c>
      <c r="T204" s="14">
        <f t="shared" si="85"/>
        <v>1</v>
      </c>
      <c r="V204" s="89">
        <f t="shared" si="112"/>
        <v>21000</v>
      </c>
      <c r="W204" s="90">
        <v>21000</v>
      </c>
      <c r="X204" s="14">
        <f t="shared" ref="X204:X269" si="115">IF($V204=0,0,W204/$V204)</f>
        <v>1</v>
      </c>
      <c r="AB204" s="89">
        <f t="shared" si="113"/>
        <v>21000</v>
      </c>
      <c r="AC204" s="90">
        <v>21000</v>
      </c>
      <c r="AD204" s="14">
        <f t="shared" si="114"/>
        <v>1</v>
      </c>
    </row>
    <row r="205" spans="1:30" x14ac:dyDescent="0.25">
      <c r="A205" s="7">
        <v>198</v>
      </c>
      <c r="B205" s="9"/>
      <c r="C205" s="9">
        <v>4319</v>
      </c>
      <c r="D205" s="9">
        <v>5179</v>
      </c>
      <c r="E205" s="9"/>
      <c r="F205" s="13" t="s">
        <v>141</v>
      </c>
      <c r="G205" s="13"/>
      <c r="K205" s="89">
        <f t="shared" si="110"/>
        <v>0</v>
      </c>
      <c r="L205" s="90">
        <v>4000</v>
      </c>
      <c r="M205" s="14">
        <f t="shared" si="88"/>
        <v>0</v>
      </c>
      <c r="P205" s="88">
        <v>25000</v>
      </c>
      <c r="R205" s="89">
        <f t="shared" si="111"/>
        <v>25000</v>
      </c>
      <c r="S205" s="90">
        <v>6250</v>
      </c>
      <c r="T205" s="14">
        <f t="shared" si="85"/>
        <v>0.25</v>
      </c>
      <c r="V205" s="89">
        <f t="shared" si="112"/>
        <v>25000</v>
      </c>
      <c r="W205" s="90">
        <v>10240</v>
      </c>
      <c r="X205" s="14">
        <f t="shared" si="115"/>
        <v>0.40960000000000002</v>
      </c>
      <c r="AB205" s="89">
        <f t="shared" si="113"/>
        <v>25000</v>
      </c>
      <c r="AC205" s="90">
        <v>16740</v>
      </c>
      <c r="AD205" s="14">
        <f t="shared" si="114"/>
        <v>0.66959999999999997</v>
      </c>
    </row>
    <row r="206" spans="1:30" ht="36.6" customHeight="1" x14ac:dyDescent="0.3">
      <c r="A206" s="7">
        <v>199</v>
      </c>
      <c r="B206" s="9"/>
      <c r="C206" s="9"/>
      <c r="D206" s="36" t="s">
        <v>142</v>
      </c>
      <c r="E206" s="9"/>
      <c r="F206" s="13"/>
      <c r="G206" s="13" t="s">
        <v>309</v>
      </c>
      <c r="H206" s="71">
        <f>SUM(H195:H205)</f>
        <v>300000</v>
      </c>
      <c r="I206" s="58"/>
      <c r="J206" s="58"/>
      <c r="K206" s="22">
        <f>SUM(K195:K205)</f>
        <v>300000</v>
      </c>
      <c r="L206" s="106">
        <f>SUM(L195:L205)</f>
        <v>54533</v>
      </c>
      <c r="M206" s="14">
        <f t="shared" si="88"/>
        <v>0.18177666666666667</v>
      </c>
      <c r="N206" s="58"/>
      <c r="O206" s="58"/>
      <c r="P206" s="58"/>
      <c r="Q206" s="58"/>
      <c r="R206" s="22">
        <f>SUM(R195:R205)</f>
        <v>300000</v>
      </c>
      <c r="S206" s="106">
        <f>SUM(S195:S205)</f>
        <v>177803.87</v>
      </c>
      <c r="T206" s="14">
        <f t="shared" si="85"/>
        <v>0.59267956666666666</v>
      </c>
      <c r="U206" s="58"/>
      <c r="V206" s="89">
        <f t="shared" si="112"/>
        <v>300000</v>
      </c>
      <c r="W206" s="106">
        <f>SUM(W195:W205)</f>
        <v>188343.87</v>
      </c>
      <c r="X206" s="14">
        <f t="shared" si="115"/>
        <v>0.62781290000000001</v>
      </c>
      <c r="Y206" s="58"/>
      <c r="Z206" s="58"/>
      <c r="AA206" s="58"/>
      <c r="AB206" s="89">
        <f t="shared" si="113"/>
        <v>300000</v>
      </c>
      <c r="AC206" s="106">
        <f>SUM(AC195:AC205)</f>
        <v>300000</v>
      </c>
      <c r="AD206" s="14">
        <f t="shared" si="114"/>
        <v>1</v>
      </c>
    </row>
    <row r="207" spans="1:30" x14ac:dyDescent="0.25">
      <c r="A207" s="7">
        <v>200</v>
      </c>
      <c r="B207" s="9"/>
      <c r="C207" s="9">
        <v>4349</v>
      </c>
      <c r="D207" s="9">
        <v>5021</v>
      </c>
      <c r="E207" s="9"/>
      <c r="F207" s="13" t="s">
        <v>321</v>
      </c>
      <c r="G207" s="13"/>
      <c r="H207" s="87">
        <v>293000</v>
      </c>
      <c r="K207" s="89">
        <f t="shared" si="110"/>
        <v>293000</v>
      </c>
      <c r="L207" s="90">
        <v>41600</v>
      </c>
      <c r="M207" s="14">
        <f t="shared" ref="M207:M258" si="116">IF($K207=0,0,L207/$K207)</f>
        <v>0.14197952218430035</v>
      </c>
      <c r="R207" s="89">
        <f t="shared" si="111"/>
        <v>293000</v>
      </c>
      <c r="S207" s="90">
        <v>104000</v>
      </c>
      <c r="T207" s="14">
        <f t="shared" ref="T207:T274" si="117">IF($R207=0,0,S207/$R207)</f>
        <v>0.35494880546075086</v>
      </c>
      <c r="V207" s="89">
        <f t="shared" si="112"/>
        <v>293000</v>
      </c>
      <c r="W207" s="90">
        <v>180850</v>
      </c>
      <c r="X207" s="14">
        <f t="shared" si="115"/>
        <v>0.61723549488054608</v>
      </c>
      <c r="AB207" s="89">
        <f t="shared" si="113"/>
        <v>293000</v>
      </c>
      <c r="AC207" s="90">
        <v>284600</v>
      </c>
      <c r="AD207" s="14">
        <f t="shared" si="114"/>
        <v>0.97133105802047781</v>
      </c>
    </row>
    <row r="208" spans="1:30" x14ac:dyDescent="0.25">
      <c r="A208" s="7">
        <v>201</v>
      </c>
      <c r="B208" s="9"/>
      <c r="C208" s="9">
        <v>4349</v>
      </c>
      <c r="D208" s="9">
        <v>5031</v>
      </c>
      <c r="E208" s="9"/>
      <c r="F208" s="13" t="s">
        <v>322</v>
      </c>
      <c r="G208" s="13"/>
      <c r="H208" s="87">
        <v>75000</v>
      </c>
      <c r="K208" s="89">
        <f t="shared" si="110"/>
        <v>75000</v>
      </c>
      <c r="L208" s="90">
        <v>5159</v>
      </c>
      <c r="M208" s="14">
        <f t="shared" si="116"/>
        <v>6.8786666666666663E-2</v>
      </c>
      <c r="R208" s="89">
        <f t="shared" si="111"/>
        <v>75000</v>
      </c>
      <c r="S208" s="90">
        <v>20636</v>
      </c>
      <c r="T208" s="14">
        <f t="shared" si="117"/>
        <v>0.27514666666666665</v>
      </c>
      <c r="V208" s="89">
        <f t="shared" si="112"/>
        <v>75000</v>
      </c>
      <c r="W208" s="90">
        <v>39833</v>
      </c>
      <c r="X208" s="14">
        <f t="shared" si="115"/>
        <v>0.53110666666666662</v>
      </c>
      <c r="AB208" s="89">
        <f t="shared" si="113"/>
        <v>75000</v>
      </c>
      <c r="AC208" s="90">
        <v>65429</v>
      </c>
      <c r="AD208" s="14">
        <f t="shared" si="114"/>
        <v>0.87238666666666664</v>
      </c>
    </row>
    <row r="209" spans="1:30" x14ac:dyDescent="0.25">
      <c r="A209" s="7">
        <v>202</v>
      </c>
      <c r="B209" s="9"/>
      <c r="C209" s="9">
        <v>4349</v>
      </c>
      <c r="D209" s="9">
        <v>5032</v>
      </c>
      <c r="E209" s="9"/>
      <c r="F209" s="13" t="s">
        <v>323</v>
      </c>
      <c r="G209" s="13"/>
      <c r="H209" s="87">
        <v>27000</v>
      </c>
      <c r="K209" s="89">
        <f t="shared" si="110"/>
        <v>27000</v>
      </c>
      <c r="L209" s="90">
        <v>3744</v>
      </c>
      <c r="M209" s="14">
        <f t="shared" si="116"/>
        <v>0.13866666666666666</v>
      </c>
      <c r="R209" s="89">
        <f t="shared" si="111"/>
        <v>27000</v>
      </c>
      <c r="S209" s="90">
        <v>9360</v>
      </c>
      <c r="T209" s="14">
        <f t="shared" si="117"/>
        <v>0.34666666666666668</v>
      </c>
      <c r="V209" s="89">
        <f t="shared" si="112"/>
        <v>27000</v>
      </c>
      <c r="W209" s="90">
        <v>16326</v>
      </c>
      <c r="X209" s="14">
        <f t="shared" si="115"/>
        <v>0.60466666666666669</v>
      </c>
      <c r="AB209" s="89">
        <f t="shared" si="113"/>
        <v>27000</v>
      </c>
      <c r="AC209" s="90">
        <v>25614</v>
      </c>
      <c r="AD209" s="14">
        <f t="shared" si="114"/>
        <v>0.94866666666666666</v>
      </c>
    </row>
    <row r="210" spans="1:30" x14ac:dyDescent="0.25">
      <c r="A210" s="7">
        <v>203</v>
      </c>
      <c r="B210" s="9"/>
      <c r="C210" s="9">
        <v>4349</v>
      </c>
      <c r="D210" s="9">
        <v>5162</v>
      </c>
      <c r="E210" s="9"/>
      <c r="F210" s="13" t="s">
        <v>324</v>
      </c>
      <c r="G210" s="13"/>
      <c r="H210" s="87">
        <v>5000</v>
      </c>
      <c r="K210" s="89">
        <f t="shared" si="110"/>
        <v>5000</v>
      </c>
      <c r="M210" s="14">
        <f t="shared" si="116"/>
        <v>0</v>
      </c>
      <c r="R210" s="89">
        <f t="shared" si="111"/>
        <v>5000</v>
      </c>
      <c r="S210" s="90">
        <v>0</v>
      </c>
      <c r="T210" s="14">
        <f t="shared" si="117"/>
        <v>0</v>
      </c>
      <c r="V210" s="89">
        <f t="shared" si="112"/>
        <v>5000</v>
      </c>
      <c r="W210" s="90">
        <v>0</v>
      </c>
      <c r="X210" s="14">
        <f t="shared" si="115"/>
        <v>0</v>
      </c>
      <c r="AB210" s="89">
        <f t="shared" si="113"/>
        <v>5000</v>
      </c>
      <c r="AC210" s="90">
        <v>0</v>
      </c>
      <c r="AD210" s="14">
        <f t="shared" si="114"/>
        <v>0</v>
      </c>
    </row>
    <row r="211" spans="1:30" ht="13.8" x14ac:dyDescent="0.3">
      <c r="A211" s="7">
        <v>204</v>
      </c>
      <c r="B211" s="9"/>
      <c r="C211" s="9"/>
      <c r="D211" s="36" t="s">
        <v>325</v>
      </c>
      <c r="E211" s="9"/>
      <c r="F211" s="13"/>
      <c r="G211" s="13" t="s">
        <v>309</v>
      </c>
      <c r="H211" s="71">
        <f>SUM(H207:H210)</f>
        <v>400000</v>
      </c>
      <c r="I211" s="58"/>
      <c r="J211" s="58"/>
      <c r="K211" s="22">
        <v>400000</v>
      </c>
      <c r="L211" s="106">
        <f>SUM(L207:L210)</f>
        <v>50503</v>
      </c>
      <c r="M211" s="14">
        <f t="shared" si="116"/>
        <v>0.12625749999999999</v>
      </c>
      <c r="N211" s="58"/>
      <c r="O211" s="58"/>
      <c r="P211" s="58"/>
      <c r="Q211" s="58"/>
      <c r="R211" s="22">
        <f>SUM(R207:R210)</f>
        <v>400000</v>
      </c>
      <c r="S211" s="106">
        <f>SUM(S207:S210)</f>
        <v>133996</v>
      </c>
      <c r="T211" s="14">
        <f t="shared" si="117"/>
        <v>0.33499000000000001</v>
      </c>
      <c r="U211" s="58"/>
      <c r="V211" s="89">
        <f t="shared" si="112"/>
        <v>400000</v>
      </c>
      <c r="W211" s="106">
        <f>SUM(W207:W210)</f>
        <v>237009</v>
      </c>
      <c r="X211" s="14">
        <f t="shared" si="115"/>
        <v>0.59252249999999995</v>
      </c>
      <c r="Y211" s="58"/>
      <c r="Z211" s="58"/>
      <c r="AA211" s="58"/>
      <c r="AB211" s="89">
        <f t="shared" si="113"/>
        <v>400000</v>
      </c>
      <c r="AC211" s="106">
        <f>SUM(AC207:AC210)</f>
        <v>375643</v>
      </c>
      <c r="AD211" s="14">
        <f t="shared" si="114"/>
        <v>0.93910749999999998</v>
      </c>
    </row>
    <row r="212" spans="1:30" x14ac:dyDescent="0.25">
      <c r="A212" s="7">
        <v>205</v>
      </c>
      <c r="B212" s="9"/>
      <c r="C212" s="9">
        <v>3613</v>
      </c>
      <c r="D212" s="37">
        <v>5137</v>
      </c>
      <c r="E212" s="9"/>
      <c r="F212" s="13" t="s">
        <v>143</v>
      </c>
      <c r="G212" s="13"/>
      <c r="H212" s="87">
        <v>100000</v>
      </c>
      <c r="K212" s="89">
        <f t="shared" si="110"/>
        <v>100000</v>
      </c>
      <c r="M212" s="14">
        <f t="shared" si="116"/>
        <v>0</v>
      </c>
      <c r="R212" s="89">
        <f t="shared" si="111"/>
        <v>100000</v>
      </c>
      <c r="S212" s="90">
        <v>28369</v>
      </c>
      <c r="T212" s="14">
        <f t="shared" si="117"/>
        <v>0.28369</v>
      </c>
      <c r="V212" s="89">
        <f t="shared" si="112"/>
        <v>100000</v>
      </c>
      <c r="W212" s="90">
        <v>28369</v>
      </c>
      <c r="X212" s="14">
        <f t="shared" si="115"/>
        <v>0.28369</v>
      </c>
      <c r="AB212" s="89">
        <f t="shared" si="113"/>
        <v>100000</v>
      </c>
      <c r="AC212" s="90">
        <v>28369</v>
      </c>
      <c r="AD212" s="14">
        <f t="shared" si="114"/>
        <v>0.28369</v>
      </c>
    </row>
    <row r="213" spans="1:30" x14ac:dyDescent="0.25">
      <c r="A213" s="7">
        <v>206</v>
      </c>
      <c r="B213" s="9"/>
      <c r="C213" s="9">
        <v>3613</v>
      </c>
      <c r="D213" s="37">
        <v>5139</v>
      </c>
      <c r="E213" s="9"/>
      <c r="F213" s="13" t="s">
        <v>144</v>
      </c>
      <c r="G213" s="13"/>
      <c r="K213" s="89">
        <f t="shared" si="110"/>
        <v>0</v>
      </c>
      <c r="M213" s="14">
        <f t="shared" si="116"/>
        <v>0</v>
      </c>
      <c r="R213" s="89">
        <f t="shared" si="111"/>
        <v>0</v>
      </c>
      <c r="S213" s="90">
        <v>0</v>
      </c>
      <c r="T213" s="14">
        <f t="shared" si="117"/>
        <v>0</v>
      </c>
      <c r="V213" s="89">
        <f t="shared" si="112"/>
        <v>0</v>
      </c>
      <c r="W213" s="90">
        <v>0</v>
      </c>
      <c r="X213" s="14">
        <f t="shared" si="115"/>
        <v>0</v>
      </c>
      <c r="AB213" s="89">
        <f t="shared" si="113"/>
        <v>0</v>
      </c>
      <c r="AC213" s="90">
        <v>0</v>
      </c>
      <c r="AD213" s="14">
        <f t="shared" si="114"/>
        <v>0</v>
      </c>
    </row>
    <row r="214" spans="1:30" x14ac:dyDescent="0.25">
      <c r="A214" s="7">
        <v>207</v>
      </c>
      <c r="B214" s="9"/>
      <c r="C214" s="9">
        <v>3613</v>
      </c>
      <c r="D214" s="37">
        <v>5169</v>
      </c>
      <c r="E214" s="9"/>
      <c r="F214" s="13" t="s">
        <v>145</v>
      </c>
      <c r="G214" s="13"/>
      <c r="H214" s="87">
        <v>50000</v>
      </c>
      <c r="K214" s="89">
        <f t="shared" si="110"/>
        <v>50000</v>
      </c>
      <c r="M214" s="14">
        <f t="shared" si="116"/>
        <v>0</v>
      </c>
      <c r="R214" s="89">
        <f t="shared" si="111"/>
        <v>50000</v>
      </c>
      <c r="S214" s="90">
        <v>0</v>
      </c>
      <c r="T214" s="14">
        <f t="shared" si="117"/>
        <v>0</v>
      </c>
      <c r="V214" s="89">
        <f t="shared" si="112"/>
        <v>50000</v>
      </c>
      <c r="W214" s="90">
        <v>0</v>
      </c>
      <c r="X214" s="14">
        <f t="shared" si="115"/>
        <v>0</v>
      </c>
      <c r="AB214" s="89">
        <f t="shared" si="113"/>
        <v>50000</v>
      </c>
      <c r="AC214" s="90">
        <v>0</v>
      </c>
      <c r="AD214" s="14">
        <f t="shared" si="114"/>
        <v>0</v>
      </c>
    </row>
    <row r="215" spans="1:30" ht="13.8" x14ac:dyDescent="0.3">
      <c r="A215" s="7">
        <v>208</v>
      </c>
      <c r="B215" s="9"/>
      <c r="C215" s="9"/>
      <c r="D215" s="36" t="s">
        <v>146</v>
      </c>
      <c r="E215" s="9"/>
      <c r="F215" s="13"/>
      <c r="G215" s="13"/>
      <c r="H215" s="71">
        <f>SUM(H212:H214)</f>
        <v>150000</v>
      </c>
      <c r="I215" s="58">
        <f>SUM(I212:I214)</f>
        <v>0</v>
      </c>
      <c r="J215" s="58">
        <f>SUM(J212:J214)</f>
        <v>0</v>
      </c>
      <c r="K215" s="22">
        <f>SUM(K212:K214)</f>
        <v>150000</v>
      </c>
      <c r="L215" s="106">
        <f>SUM(L212:L214)</f>
        <v>0</v>
      </c>
      <c r="M215" s="14">
        <f t="shared" si="116"/>
        <v>0</v>
      </c>
      <c r="N215" s="58">
        <f t="shared" ref="N215:S215" si="118">SUM(N212:N214)</f>
        <v>0</v>
      </c>
      <c r="O215" s="58">
        <f t="shared" si="118"/>
        <v>0</v>
      </c>
      <c r="P215" s="58">
        <f t="shared" si="118"/>
        <v>0</v>
      </c>
      <c r="Q215" s="58">
        <f t="shared" si="118"/>
        <v>0</v>
      </c>
      <c r="R215" s="22">
        <f t="shared" si="118"/>
        <v>150000</v>
      </c>
      <c r="S215" s="106">
        <f t="shared" si="118"/>
        <v>28369</v>
      </c>
      <c r="T215" s="14">
        <f t="shared" si="117"/>
        <v>0.18912666666666667</v>
      </c>
      <c r="U215" s="58">
        <f t="shared" ref="U215" si="119">SUM(U212:U214)</f>
        <v>0</v>
      </c>
      <c r="V215" s="22">
        <f t="shared" ref="V215" si="120">SUM(V212:V214)</f>
        <v>150000</v>
      </c>
      <c r="W215" s="106">
        <f t="shared" ref="W215" si="121">SUM(W212:W214)</f>
        <v>28369</v>
      </c>
      <c r="X215" s="14">
        <f t="shared" si="115"/>
        <v>0.18912666666666667</v>
      </c>
      <c r="Y215" s="58">
        <f t="shared" ref="Y215:AC215" si="122">SUM(Y212:Y214)</f>
        <v>0</v>
      </c>
      <c r="Z215" s="58">
        <f t="shared" si="122"/>
        <v>0</v>
      </c>
      <c r="AA215" s="58">
        <f t="shared" si="122"/>
        <v>0</v>
      </c>
      <c r="AB215" s="22">
        <f t="shared" si="122"/>
        <v>150000</v>
      </c>
      <c r="AC215" s="106">
        <f t="shared" si="122"/>
        <v>28369</v>
      </c>
      <c r="AD215" s="14">
        <f t="shared" si="114"/>
        <v>0.18912666666666667</v>
      </c>
    </row>
    <row r="216" spans="1:30" ht="13.8" thickBot="1" x14ac:dyDescent="0.3">
      <c r="A216" s="7">
        <v>209</v>
      </c>
      <c r="B216" s="9"/>
      <c r="C216" s="16" t="s">
        <v>147</v>
      </c>
      <c r="D216" s="16"/>
      <c r="E216" s="16"/>
      <c r="F216" s="17"/>
      <c r="G216" s="17"/>
      <c r="H216" s="72">
        <f>H215+H211+H206</f>
        <v>850000</v>
      </c>
      <c r="I216" s="82">
        <f>I215+I211+I206</f>
        <v>0</v>
      </c>
      <c r="J216" s="82">
        <f>J215+J211+J206</f>
        <v>0</v>
      </c>
      <c r="K216" s="53">
        <f>K215+K211+K206</f>
        <v>850000</v>
      </c>
      <c r="L216" s="107">
        <f>L215+L211+L206</f>
        <v>105036</v>
      </c>
      <c r="M216" s="14">
        <f t="shared" si="116"/>
        <v>0.12357176470588235</v>
      </c>
      <c r="N216" s="82">
        <f t="shared" ref="N216:S216" si="123">N215+N211+N206</f>
        <v>0</v>
      </c>
      <c r="O216" s="82">
        <f t="shared" si="123"/>
        <v>0</v>
      </c>
      <c r="P216" s="82">
        <f t="shared" si="123"/>
        <v>0</v>
      </c>
      <c r="Q216" s="82">
        <f t="shared" si="123"/>
        <v>0</v>
      </c>
      <c r="R216" s="53">
        <f t="shared" si="123"/>
        <v>850000</v>
      </c>
      <c r="S216" s="107">
        <f t="shared" si="123"/>
        <v>340168.87</v>
      </c>
      <c r="T216" s="112">
        <f t="shared" si="117"/>
        <v>0.40019867058823527</v>
      </c>
      <c r="U216" s="82">
        <f t="shared" ref="U216" si="124">U215+U211+U206</f>
        <v>0</v>
      </c>
      <c r="V216" s="53">
        <f t="shared" ref="V216" si="125">V215+V211+V206</f>
        <v>850000</v>
      </c>
      <c r="W216" s="107">
        <f t="shared" ref="W216" si="126">W215+W211+W206</f>
        <v>453721.87</v>
      </c>
      <c r="X216" s="112">
        <f t="shared" si="115"/>
        <v>0.53379043529411763</v>
      </c>
      <c r="Y216" s="82">
        <f t="shared" ref="Y216:AC216" si="127">Y215+Y211+Y206</f>
        <v>0</v>
      </c>
      <c r="Z216" s="82">
        <f t="shared" si="127"/>
        <v>0</v>
      </c>
      <c r="AA216" s="82">
        <f t="shared" si="127"/>
        <v>0</v>
      </c>
      <c r="AB216" s="53">
        <f t="shared" si="127"/>
        <v>850000</v>
      </c>
      <c r="AC216" s="107">
        <f t="shared" si="127"/>
        <v>704012</v>
      </c>
      <c r="AD216" s="112">
        <f t="shared" si="114"/>
        <v>0.8282494117647059</v>
      </c>
    </row>
    <row r="217" spans="1:30" ht="13.8" thickTop="1" x14ac:dyDescent="0.25">
      <c r="A217" s="7">
        <v>210</v>
      </c>
      <c r="B217" s="9"/>
      <c r="C217" s="9"/>
      <c r="D217" s="9"/>
      <c r="E217" s="9"/>
      <c r="F217" s="13"/>
      <c r="G217" s="13"/>
      <c r="M217" s="14">
        <f t="shared" si="116"/>
        <v>0</v>
      </c>
      <c r="T217" s="14">
        <f t="shared" si="117"/>
        <v>0</v>
      </c>
      <c r="X217" s="14">
        <f t="shared" si="115"/>
        <v>0</v>
      </c>
      <c r="AD217" s="14">
        <f t="shared" si="114"/>
        <v>0</v>
      </c>
    </row>
    <row r="218" spans="1:30" x14ac:dyDescent="0.25">
      <c r="A218" s="7">
        <v>211</v>
      </c>
      <c r="B218" s="9"/>
      <c r="C218" s="9"/>
      <c r="D218" s="9"/>
      <c r="E218" s="9"/>
      <c r="F218" s="13"/>
      <c r="G218" s="13"/>
      <c r="M218" s="14">
        <f t="shared" si="116"/>
        <v>0</v>
      </c>
      <c r="T218" s="14">
        <f t="shared" si="117"/>
        <v>0</v>
      </c>
      <c r="X218" s="14">
        <f t="shared" si="115"/>
        <v>0</v>
      </c>
      <c r="AD218" s="14">
        <f t="shared" si="114"/>
        <v>0</v>
      </c>
    </row>
    <row r="219" spans="1:30" x14ac:dyDescent="0.25">
      <c r="A219" s="7">
        <v>212</v>
      </c>
      <c r="B219" s="9"/>
      <c r="C219" s="9"/>
      <c r="D219" s="9"/>
      <c r="E219" s="9"/>
      <c r="F219" s="13"/>
      <c r="G219" s="13"/>
      <c r="M219" s="14">
        <f t="shared" si="116"/>
        <v>0</v>
      </c>
      <c r="T219" s="14">
        <f t="shared" si="117"/>
        <v>0</v>
      </c>
      <c r="X219" s="14">
        <f t="shared" si="115"/>
        <v>0</v>
      </c>
      <c r="AD219" s="14">
        <f t="shared" si="114"/>
        <v>0</v>
      </c>
    </row>
    <row r="220" spans="1:30" x14ac:dyDescent="0.25">
      <c r="A220" s="7">
        <v>213</v>
      </c>
      <c r="B220" s="9" t="s">
        <v>148</v>
      </c>
      <c r="C220" s="9"/>
      <c r="D220" s="9"/>
      <c r="E220" s="9"/>
      <c r="F220" s="13"/>
      <c r="G220" s="13"/>
      <c r="M220" s="14">
        <f t="shared" si="116"/>
        <v>0</v>
      </c>
      <c r="T220" s="14">
        <f t="shared" si="117"/>
        <v>0</v>
      </c>
      <c r="X220" s="14">
        <f t="shared" si="115"/>
        <v>0</v>
      </c>
      <c r="AD220" s="14">
        <f t="shared" si="114"/>
        <v>0</v>
      </c>
    </row>
    <row r="221" spans="1:30" x14ac:dyDescent="0.25">
      <c r="A221" s="7">
        <v>214</v>
      </c>
      <c r="B221" s="9"/>
      <c r="C221" s="9"/>
      <c r="D221" s="9" t="s">
        <v>149</v>
      </c>
      <c r="E221" s="9"/>
      <c r="F221" s="13"/>
      <c r="G221" s="13"/>
      <c r="M221" s="14">
        <f t="shared" si="116"/>
        <v>0</v>
      </c>
      <c r="T221" s="14">
        <f t="shared" si="117"/>
        <v>0</v>
      </c>
      <c r="X221" s="14">
        <f t="shared" si="115"/>
        <v>0</v>
      </c>
      <c r="AD221" s="14">
        <f t="shared" si="114"/>
        <v>0</v>
      </c>
    </row>
    <row r="222" spans="1:30" x14ac:dyDescent="0.25">
      <c r="A222" s="7">
        <v>215</v>
      </c>
      <c r="B222" s="9"/>
      <c r="C222" s="9">
        <v>3314</v>
      </c>
      <c r="D222" s="9">
        <v>5011</v>
      </c>
      <c r="E222" s="9"/>
      <c r="F222" s="13" t="s">
        <v>150</v>
      </c>
      <c r="G222" s="13"/>
      <c r="M222" s="14">
        <f t="shared" si="116"/>
        <v>0</v>
      </c>
      <c r="T222" s="14">
        <f t="shared" si="117"/>
        <v>0</v>
      </c>
      <c r="X222" s="14">
        <f t="shared" si="115"/>
        <v>0</v>
      </c>
      <c r="AD222" s="14">
        <f t="shared" si="114"/>
        <v>0</v>
      </c>
    </row>
    <row r="223" spans="1:30" x14ac:dyDescent="0.25">
      <c r="A223" s="7">
        <v>216</v>
      </c>
      <c r="B223" s="9"/>
      <c r="C223" s="9">
        <v>3314</v>
      </c>
      <c r="D223" s="9">
        <v>5021</v>
      </c>
      <c r="E223" s="9"/>
      <c r="F223" s="13" t="s">
        <v>151</v>
      </c>
      <c r="G223" s="13"/>
      <c r="H223" s="73">
        <v>125000</v>
      </c>
      <c r="I223" s="59"/>
      <c r="J223" s="59"/>
      <c r="K223" s="89">
        <f t="shared" ref="K223:K235" si="128">H223+I223+J223</f>
        <v>125000</v>
      </c>
      <c r="L223" s="90">
        <v>17160</v>
      </c>
      <c r="M223" s="14">
        <f t="shared" si="116"/>
        <v>0.13728000000000001</v>
      </c>
      <c r="N223" s="59"/>
      <c r="O223" s="59"/>
      <c r="P223" s="59"/>
      <c r="Q223" s="59"/>
      <c r="R223" s="89">
        <f t="shared" ref="R223:R235" si="129">H223+I223+J223+N223+O223+P223+Q223</f>
        <v>125000</v>
      </c>
      <c r="S223" s="90">
        <v>42900</v>
      </c>
      <c r="T223" s="14">
        <f t="shared" si="117"/>
        <v>0.34320000000000001</v>
      </c>
      <c r="U223" s="59"/>
      <c r="V223" s="89">
        <f t="shared" ref="V223:V235" si="130">H223+I223+J223+N223+O223+P223+Q223+U223</f>
        <v>125000</v>
      </c>
      <c r="W223" s="90">
        <v>69300</v>
      </c>
      <c r="X223" s="14">
        <f t="shared" si="115"/>
        <v>0.5544</v>
      </c>
      <c r="Y223" s="59"/>
      <c r="Z223" s="59"/>
      <c r="AA223" s="59"/>
      <c r="AB223" s="89">
        <f t="shared" ref="AB223:AB235" si="131">H223+I223+J223+N223+O223+P223+Q223+U223+Y223+Z223+AA223</f>
        <v>125000</v>
      </c>
      <c r="AC223" s="90">
        <v>102520</v>
      </c>
      <c r="AD223" s="14">
        <f t="shared" si="114"/>
        <v>0.82016</v>
      </c>
    </row>
    <row r="224" spans="1:30" x14ac:dyDescent="0.25">
      <c r="A224" s="7">
        <v>217</v>
      </c>
      <c r="B224" s="9"/>
      <c r="C224" s="9">
        <v>3314</v>
      </c>
      <c r="D224" s="9">
        <v>5031</v>
      </c>
      <c r="E224" s="9"/>
      <c r="F224" s="13" t="s">
        <v>124</v>
      </c>
      <c r="G224" s="13"/>
      <c r="H224" s="73">
        <v>31200</v>
      </c>
      <c r="I224" s="59"/>
      <c r="J224" s="59"/>
      <c r="K224" s="89">
        <f t="shared" si="128"/>
        <v>31200</v>
      </c>
      <c r="L224" s="90">
        <v>4257</v>
      </c>
      <c r="M224" s="14">
        <f t="shared" si="116"/>
        <v>0.1364423076923077</v>
      </c>
      <c r="N224" s="59"/>
      <c r="O224" s="59"/>
      <c r="P224" s="59"/>
      <c r="Q224" s="59"/>
      <c r="R224" s="89">
        <f t="shared" si="129"/>
        <v>31200</v>
      </c>
      <c r="S224" s="90">
        <v>10642</v>
      </c>
      <c r="T224" s="14">
        <f t="shared" si="117"/>
        <v>0.34108974358974359</v>
      </c>
      <c r="U224" s="59"/>
      <c r="V224" s="89">
        <f t="shared" si="130"/>
        <v>31200</v>
      </c>
      <c r="W224" s="90">
        <v>17191</v>
      </c>
      <c r="X224" s="14">
        <f t="shared" si="115"/>
        <v>0.5509935897435897</v>
      </c>
      <c r="Y224" s="59"/>
      <c r="Z224" s="59"/>
      <c r="AA224" s="59"/>
      <c r="AB224" s="89">
        <f t="shared" si="131"/>
        <v>31200</v>
      </c>
      <c r="AC224" s="90">
        <v>25431</v>
      </c>
      <c r="AD224" s="14">
        <f t="shared" si="114"/>
        <v>0.81509615384615386</v>
      </c>
    </row>
    <row r="225" spans="1:30" x14ac:dyDescent="0.25">
      <c r="A225" s="7">
        <v>218</v>
      </c>
      <c r="B225" s="9"/>
      <c r="C225" s="9">
        <v>3314</v>
      </c>
      <c r="D225" s="9">
        <v>5032</v>
      </c>
      <c r="E225" s="9"/>
      <c r="F225" s="13" t="s">
        <v>125</v>
      </c>
      <c r="G225" s="13"/>
      <c r="H225" s="73">
        <v>11300</v>
      </c>
      <c r="I225" s="59"/>
      <c r="J225" s="59"/>
      <c r="K225" s="89">
        <f t="shared" si="128"/>
        <v>11300</v>
      </c>
      <c r="L225" s="90">
        <v>1544</v>
      </c>
      <c r="M225" s="14">
        <f t="shared" si="116"/>
        <v>0.13663716814159291</v>
      </c>
      <c r="N225" s="59"/>
      <c r="O225" s="59"/>
      <c r="P225" s="59"/>
      <c r="Q225" s="59"/>
      <c r="R225" s="89">
        <f t="shared" si="129"/>
        <v>11300</v>
      </c>
      <c r="S225" s="90">
        <v>3860</v>
      </c>
      <c r="T225" s="14">
        <f t="shared" si="117"/>
        <v>0.34159292035398231</v>
      </c>
      <c r="U225" s="59"/>
      <c r="V225" s="89">
        <f t="shared" si="130"/>
        <v>11300</v>
      </c>
      <c r="W225" s="90">
        <v>6236</v>
      </c>
      <c r="X225" s="14">
        <f t="shared" si="115"/>
        <v>0.55185840707964606</v>
      </c>
      <c r="Y225" s="59"/>
      <c r="Z225" s="59"/>
      <c r="AA225" s="59"/>
      <c r="AB225" s="89">
        <f t="shared" si="131"/>
        <v>11300</v>
      </c>
      <c r="AC225" s="90">
        <v>9226</v>
      </c>
      <c r="AD225" s="14">
        <f t="shared" si="114"/>
        <v>0.81646017699115048</v>
      </c>
    </row>
    <row r="226" spans="1:30" x14ac:dyDescent="0.25">
      <c r="A226" s="7">
        <v>219</v>
      </c>
      <c r="B226" s="9"/>
      <c r="C226" s="9">
        <v>3314</v>
      </c>
      <c r="D226" s="9">
        <v>5041</v>
      </c>
      <c r="E226" s="9"/>
      <c r="F226" s="13" t="s">
        <v>152</v>
      </c>
      <c r="G226" s="13"/>
      <c r="H226" s="73">
        <v>5000</v>
      </c>
      <c r="I226" s="59"/>
      <c r="J226" s="59"/>
      <c r="K226" s="89">
        <f t="shared" si="128"/>
        <v>5000</v>
      </c>
      <c r="M226" s="14">
        <f t="shared" si="116"/>
        <v>0</v>
      </c>
      <c r="N226" s="59"/>
      <c r="O226" s="59"/>
      <c r="P226" s="59"/>
      <c r="Q226" s="59"/>
      <c r="R226" s="89">
        <f t="shared" si="129"/>
        <v>5000</v>
      </c>
      <c r="T226" s="14">
        <f t="shared" si="117"/>
        <v>0</v>
      </c>
      <c r="U226" s="59"/>
      <c r="V226" s="89">
        <f t="shared" si="130"/>
        <v>5000</v>
      </c>
      <c r="X226" s="14">
        <f t="shared" si="115"/>
        <v>0</v>
      </c>
      <c r="Y226" s="59"/>
      <c r="Z226" s="59"/>
      <c r="AA226" s="59"/>
      <c r="AB226" s="89">
        <f t="shared" si="131"/>
        <v>5000</v>
      </c>
      <c r="AD226" s="14">
        <f t="shared" si="114"/>
        <v>0</v>
      </c>
    </row>
    <row r="227" spans="1:30" x14ac:dyDescent="0.25">
      <c r="A227" s="7">
        <v>220</v>
      </c>
      <c r="B227" s="9"/>
      <c r="C227" s="9">
        <v>3314</v>
      </c>
      <c r="D227" s="9">
        <v>5136</v>
      </c>
      <c r="E227" s="9"/>
      <c r="F227" s="13" t="s">
        <v>153</v>
      </c>
      <c r="G227" s="13"/>
      <c r="H227" s="73">
        <v>90000</v>
      </c>
      <c r="I227" s="59"/>
      <c r="J227" s="59"/>
      <c r="K227" s="89">
        <f t="shared" si="128"/>
        <v>90000</v>
      </c>
      <c r="L227" s="90">
        <v>21924</v>
      </c>
      <c r="M227" s="14">
        <f t="shared" si="116"/>
        <v>0.24360000000000001</v>
      </c>
      <c r="N227" s="59"/>
      <c r="O227" s="59"/>
      <c r="P227" s="59"/>
      <c r="Q227" s="59"/>
      <c r="R227" s="89">
        <f t="shared" si="129"/>
        <v>90000</v>
      </c>
      <c r="S227" s="90">
        <v>51799</v>
      </c>
      <c r="T227" s="14">
        <f t="shared" si="117"/>
        <v>0.57554444444444441</v>
      </c>
      <c r="U227" s="59"/>
      <c r="V227" s="89">
        <f t="shared" si="130"/>
        <v>90000</v>
      </c>
      <c r="W227" s="90">
        <v>70289</v>
      </c>
      <c r="X227" s="14">
        <f t="shared" si="115"/>
        <v>0.78098888888888884</v>
      </c>
      <c r="Y227" s="59"/>
      <c r="Z227" s="59"/>
      <c r="AA227" s="59"/>
      <c r="AB227" s="89">
        <f t="shared" si="131"/>
        <v>90000</v>
      </c>
      <c r="AC227" s="90">
        <v>90000</v>
      </c>
      <c r="AD227" s="14">
        <f t="shared" si="114"/>
        <v>1</v>
      </c>
    </row>
    <row r="228" spans="1:30" x14ac:dyDescent="0.25">
      <c r="A228" s="7">
        <v>221</v>
      </c>
      <c r="B228" s="9"/>
      <c r="C228" s="9">
        <v>3314</v>
      </c>
      <c r="D228" s="9">
        <v>5137</v>
      </c>
      <c r="E228" s="9"/>
      <c r="F228" s="13" t="s">
        <v>154</v>
      </c>
      <c r="G228" s="13"/>
      <c r="H228" s="73">
        <v>5000</v>
      </c>
      <c r="I228" s="59"/>
      <c r="J228" s="59"/>
      <c r="K228" s="89">
        <f t="shared" si="128"/>
        <v>5000</v>
      </c>
      <c r="M228" s="14">
        <f t="shared" si="116"/>
        <v>0</v>
      </c>
      <c r="N228" s="59"/>
      <c r="O228" s="59"/>
      <c r="P228" s="59"/>
      <c r="Q228" s="59"/>
      <c r="R228" s="89">
        <f t="shared" si="129"/>
        <v>5000</v>
      </c>
      <c r="T228" s="14">
        <f t="shared" si="117"/>
        <v>0</v>
      </c>
      <c r="U228" s="59"/>
      <c r="V228" s="89">
        <f t="shared" si="130"/>
        <v>5000</v>
      </c>
      <c r="X228" s="14">
        <f t="shared" si="115"/>
        <v>0</v>
      </c>
      <c r="Y228" s="59"/>
      <c r="Z228" s="59"/>
      <c r="AA228" s="59"/>
      <c r="AB228" s="89">
        <f t="shared" si="131"/>
        <v>5000</v>
      </c>
      <c r="AD228" s="14">
        <f t="shared" si="114"/>
        <v>0</v>
      </c>
    </row>
    <row r="229" spans="1:30" x14ac:dyDescent="0.25">
      <c r="A229" s="7">
        <v>222</v>
      </c>
      <c r="B229" s="9"/>
      <c r="C229" s="9">
        <v>3314</v>
      </c>
      <c r="D229" s="9">
        <v>5139</v>
      </c>
      <c r="E229" s="9"/>
      <c r="F229" s="13" t="s">
        <v>127</v>
      </c>
      <c r="G229" s="13"/>
      <c r="H229" s="73">
        <v>5000</v>
      </c>
      <c r="I229" s="59"/>
      <c r="J229" s="59"/>
      <c r="K229" s="89">
        <f t="shared" si="128"/>
        <v>5000</v>
      </c>
      <c r="L229" s="90">
        <v>45</v>
      </c>
      <c r="M229" s="14">
        <f t="shared" si="116"/>
        <v>8.9999999999999993E-3</v>
      </c>
      <c r="N229" s="59"/>
      <c r="O229" s="59"/>
      <c r="P229" s="59"/>
      <c r="Q229" s="59"/>
      <c r="R229" s="89">
        <f t="shared" si="129"/>
        <v>5000</v>
      </c>
      <c r="S229" s="90">
        <v>4915</v>
      </c>
      <c r="T229" s="14">
        <f t="shared" si="117"/>
        <v>0.98299999999999998</v>
      </c>
      <c r="U229" s="59"/>
      <c r="V229" s="89">
        <f t="shared" si="130"/>
        <v>5000</v>
      </c>
      <c r="W229" s="90">
        <v>5331</v>
      </c>
      <c r="X229" s="14">
        <f t="shared" si="115"/>
        <v>1.0662</v>
      </c>
      <c r="Y229" s="59"/>
      <c r="Z229" s="59"/>
      <c r="AA229" s="59"/>
      <c r="AB229" s="89">
        <f t="shared" si="131"/>
        <v>5000</v>
      </c>
      <c r="AC229" s="90">
        <v>5331</v>
      </c>
      <c r="AD229" s="14">
        <f t="shared" si="114"/>
        <v>1.0662</v>
      </c>
    </row>
    <row r="230" spans="1:30" x14ac:dyDescent="0.25">
      <c r="A230" s="7">
        <v>223</v>
      </c>
      <c r="B230" s="9"/>
      <c r="C230" s="9">
        <v>3314</v>
      </c>
      <c r="D230" s="9">
        <v>5154</v>
      </c>
      <c r="E230" s="9"/>
      <c r="F230" s="13" t="s">
        <v>100</v>
      </c>
      <c r="G230" s="13"/>
      <c r="H230" s="73">
        <v>16000</v>
      </c>
      <c r="I230" s="59"/>
      <c r="J230" s="59"/>
      <c r="K230" s="89">
        <f t="shared" si="128"/>
        <v>16000</v>
      </c>
      <c r="L230" s="90">
        <v>3000</v>
      </c>
      <c r="M230" s="14">
        <f t="shared" si="116"/>
        <v>0.1875</v>
      </c>
      <c r="N230" s="59"/>
      <c r="O230" s="59"/>
      <c r="P230" s="59"/>
      <c r="Q230" s="59"/>
      <c r="R230" s="89">
        <f t="shared" si="129"/>
        <v>16000</v>
      </c>
      <c r="S230" s="90">
        <v>4787</v>
      </c>
      <c r="T230" s="14">
        <f t="shared" si="117"/>
        <v>0.2991875</v>
      </c>
      <c r="U230" s="59"/>
      <c r="V230" s="89">
        <f t="shared" si="130"/>
        <v>16000</v>
      </c>
      <c r="W230" s="90">
        <v>8482</v>
      </c>
      <c r="X230" s="14">
        <f t="shared" si="115"/>
        <v>0.53012499999999996</v>
      </c>
      <c r="Y230" s="59"/>
      <c r="Z230" s="59"/>
      <c r="AA230" s="59"/>
      <c r="AB230" s="89">
        <f t="shared" si="131"/>
        <v>16000</v>
      </c>
      <c r="AC230" s="90">
        <v>11482</v>
      </c>
      <c r="AD230" s="14">
        <f t="shared" si="114"/>
        <v>0.71762499999999996</v>
      </c>
    </row>
    <row r="231" spans="1:30" x14ac:dyDescent="0.25">
      <c r="A231" s="7">
        <v>224</v>
      </c>
      <c r="B231" s="9"/>
      <c r="C231" s="9">
        <v>3314</v>
      </c>
      <c r="D231" s="9">
        <v>5162</v>
      </c>
      <c r="E231" s="9"/>
      <c r="F231" s="13" t="s">
        <v>155</v>
      </c>
      <c r="G231" s="13"/>
      <c r="H231" s="73">
        <v>9000</v>
      </c>
      <c r="I231" s="59"/>
      <c r="J231" s="59"/>
      <c r="K231" s="89">
        <f t="shared" si="128"/>
        <v>9000</v>
      </c>
      <c r="L231" s="90">
        <v>2174.16</v>
      </c>
      <c r="M231" s="14">
        <f t="shared" si="116"/>
        <v>0.24157333333333331</v>
      </c>
      <c r="N231" s="59"/>
      <c r="O231" s="59"/>
      <c r="P231" s="59"/>
      <c r="Q231" s="59"/>
      <c r="R231" s="89">
        <f t="shared" si="129"/>
        <v>9000</v>
      </c>
      <c r="S231" s="90">
        <v>4348.32</v>
      </c>
      <c r="T231" s="14">
        <f t="shared" si="117"/>
        <v>0.48314666666666661</v>
      </c>
      <c r="U231" s="59"/>
      <c r="V231" s="89">
        <f t="shared" si="130"/>
        <v>9000</v>
      </c>
      <c r="W231" s="90">
        <v>6578.5</v>
      </c>
      <c r="X231" s="14">
        <f t="shared" si="115"/>
        <v>0.7309444444444444</v>
      </c>
      <c r="Y231" s="59"/>
      <c r="Z231" s="59"/>
      <c r="AA231" s="59"/>
      <c r="AB231" s="89">
        <f t="shared" si="131"/>
        <v>9000</v>
      </c>
      <c r="AC231" s="90">
        <v>8797.66</v>
      </c>
      <c r="AD231" s="14">
        <f t="shared" si="114"/>
        <v>0.97751777777777771</v>
      </c>
    </row>
    <row r="232" spans="1:30" x14ac:dyDescent="0.25">
      <c r="A232" s="7">
        <v>225</v>
      </c>
      <c r="B232" s="9"/>
      <c r="C232" s="9">
        <v>3314</v>
      </c>
      <c r="D232" s="9">
        <v>5168</v>
      </c>
      <c r="E232" s="9"/>
      <c r="F232" s="13" t="s">
        <v>156</v>
      </c>
      <c r="G232" s="13"/>
      <c r="H232" s="73">
        <v>5000</v>
      </c>
      <c r="I232" s="59"/>
      <c r="J232" s="59"/>
      <c r="K232" s="89">
        <f t="shared" si="128"/>
        <v>5000</v>
      </c>
      <c r="M232" s="14">
        <f t="shared" si="116"/>
        <v>0</v>
      </c>
      <c r="N232" s="59"/>
      <c r="O232" s="59"/>
      <c r="P232" s="59"/>
      <c r="Q232" s="59"/>
      <c r="R232" s="89">
        <f t="shared" si="129"/>
        <v>5000</v>
      </c>
      <c r="T232" s="14">
        <f t="shared" si="117"/>
        <v>0</v>
      </c>
      <c r="U232" s="59"/>
      <c r="V232" s="89">
        <f t="shared" si="130"/>
        <v>5000</v>
      </c>
      <c r="X232" s="14">
        <f t="shared" si="115"/>
        <v>0</v>
      </c>
      <c r="Y232" s="59"/>
      <c r="Z232" s="59"/>
      <c r="AA232" s="59"/>
      <c r="AB232" s="89">
        <f t="shared" si="131"/>
        <v>5000</v>
      </c>
      <c r="AD232" s="14">
        <f t="shared" si="114"/>
        <v>0</v>
      </c>
    </row>
    <row r="233" spans="1:30" x14ac:dyDescent="0.25">
      <c r="A233" s="7">
        <v>226</v>
      </c>
      <c r="B233" s="9"/>
      <c r="C233" s="9">
        <v>3314</v>
      </c>
      <c r="D233" s="9">
        <v>5169</v>
      </c>
      <c r="E233" s="9"/>
      <c r="F233" s="13" t="s">
        <v>109</v>
      </c>
      <c r="G233" s="13"/>
      <c r="H233" s="73">
        <v>40000</v>
      </c>
      <c r="I233" s="59"/>
      <c r="J233" s="59"/>
      <c r="K233" s="89">
        <f t="shared" si="128"/>
        <v>40000</v>
      </c>
      <c r="L233" s="90">
        <v>12480</v>
      </c>
      <c r="M233" s="14">
        <f t="shared" si="116"/>
        <v>0.312</v>
      </c>
      <c r="N233" s="59"/>
      <c r="O233" s="59"/>
      <c r="P233" s="59"/>
      <c r="Q233" s="59"/>
      <c r="R233" s="89">
        <f t="shared" si="129"/>
        <v>40000</v>
      </c>
      <c r="S233" s="90">
        <v>24060</v>
      </c>
      <c r="T233" s="14">
        <f t="shared" si="117"/>
        <v>0.60150000000000003</v>
      </c>
      <c r="U233" s="59"/>
      <c r="V233" s="89">
        <f t="shared" si="130"/>
        <v>40000</v>
      </c>
      <c r="W233" s="90">
        <v>44808</v>
      </c>
      <c r="X233" s="14">
        <f t="shared" si="115"/>
        <v>1.1202000000000001</v>
      </c>
      <c r="Y233" s="59"/>
      <c r="Z233" s="59"/>
      <c r="AA233" s="59"/>
      <c r="AB233" s="89">
        <f t="shared" si="131"/>
        <v>40000</v>
      </c>
      <c r="AC233" s="90">
        <v>56388</v>
      </c>
      <c r="AD233" s="14">
        <f t="shared" si="114"/>
        <v>1.4097</v>
      </c>
    </row>
    <row r="234" spans="1:30" x14ac:dyDescent="0.25">
      <c r="A234" s="7">
        <v>227</v>
      </c>
      <c r="B234" s="9"/>
      <c r="C234" s="9">
        <v>3314</v>
      </c>
      <c r="D234" s="9">
        <v>5171</v>
      </c>
      <c r="E234" s="9"/>
      <c r="F234" s="13" t="s">
        <v>157</v>
      </c>
      <c r="G234" s="13"/>
      <c r="H234" s="73">
        <v>3000</v>
      </c>
      <c r="I234" s="59"/>
      <c r="J234" s="59"/>
      <c r="K234" s="89">
        <f t="shared" si="128"/>
        <v>3000</v>
      </c>
      <c r="M234" s="14">
        <f t="shared" si="116"/>
        <v>0</v>
      </c>
      <c r="N234" s="59"/>
      <c r="O234" s="59"/>
      <c r="P234" s="59"/>
      <c r="Q234" s="59"/>
      <c r="R234" s="89">
        <f t="shared" si="129"/>
        <v>3000</v>
      </c>
      <c r="T234" s="14">
        <f t="shared" si="117"/>
        <v>0</v>
      </c>
      <c r="U234" s="59"/>
      <c r="V234" s="89">
        <f t="shared" si="130"/>
        <v>3000</v>
      </c>
      <c r="X234" s="14">
        <f t="shared" si="115"/>
        <v>0</v>
      </c>
      <c r="Y234" s="59"/>
      <c r="Z234" s="59"/>
      <c r="AA234" s="59"/>
      <c r="AB234" s="89">
        <f t="shared" si="131"/>
        <v>3000</v>
      </c>
      <c r="AD234" s="14">
        <f t="shared" si="114"/>
        <v>0</v>
      </c>
    </row>
    <row r="235" spans="1:30" x14ac:dyDescent="0.25">
      <c r="A235" s="7">
        <v>228</v>
      </c>
      <c r="B235" s="9"/>
      <c r="C235" s="9">
        <v>3314</v>
      </c>
      <c r="D235" s="9">
        <v>5175</v>
      </c>
      <c r="E235" s="9"/>
      <c r="F235" s="13" t="s">
        <v>139</v>
      </c>
      <c r="G235" s="13"/>
      <c r="H235" s="73">
        <v>1000</v>
      </c>
      <c r="I235" s="59"/>
      <c r="J235" s="59"/>
      <c r="K235" s="89">
        <f t="shared" si="128"/>
        <v>1000</v>
      </c>
      <c r="M235" s="14">
        <f t="shared" si="116"/>
        <v>0</v>
      </c>
      <c r="N235" s="59"/>
      <c r="O235" s="59"/>
      <c r="P235" s="59"/>
      <c r="Q235" s="59"/>
      <c r="R235" s="89">
        <f t="shared" si="129"/>
        <v>1000</v>
      </c>
      <c r="T235" s="14">
        <f t="shared" si="117"/>
        <v>0</v>
      </c>
      <c r="U235" s="59"/>
      <c r="V235" s="89">
        <f t="shared" si="130"/>
        <v>1000</v>
      </c>
      <c r="X235" s="14">
        <f t="shared" si="115"/>
        <v>0</v>
      </c>
      <c r="Y235" s="59"/>
      <c r="Z235" s="59"/>
      <c r="AA235" s="59"/>
      <c r="AB235" s="89">
        <f t="shared" si="131"/>
        <v>1000</v>
      </c>
      <c r="AD235" s="14">
        <f t="shared" si="114"/>
        <v>0</v>
      </c>
    </row>
    <row r="236" spans="1:30" ht="13.8" x14ac:dyDescent="0.3">
      <c r="A236" s="7">
        <v>229</v>
      </c>
      <c r="B236" s="9"/>
      <c r="C236" s="9"/>
      <c r="D236" s="36" t="s">
        <v>158</v>
      </c>
      <c r="E236" s="36"/>
      <c r="F236" s="35"/>
      <c r="G236" s="35"/>
      <c r="H236" s="71">
        <f>SUM(H223:H235)</f>
        <v>346500</v>
      </c>
      <c r="I236" s="58"/>
      <c r="J236" s="58"/>
      <c r="K236" s="22">
        <f>SUM(K223:K235)</f>
        <v>346500</v>
      </c>
      <c r="L236" s="106">
        <f>SUM(L223:L235)</f>
        <v>62584.160000000003</v>
      </c>
      <c r="M236" s="14">
        <f t="shared" si="116"/>
        <v>0.18061806637806638</v>
      </c>
      <c r="N236" s="58"/>
      <c r="O236" s="58"/>
      <c r="P236" s="58"/>
      <c r="Q236" s="58"/>
      <c r="R236" s="22">
        <f>SUM(R223:R235)</f>
        <v>346500</v>
      </c>
      <c r="S236" s="106">
        <f>SUM(S223:S235)</f>
        <v>147311.32</v>
      </c>
      <c r="T236" s="14">
        <f t="shared" si="117"/>
        <v>0.42514089466089466</v>
      </c>
      <c r="U236" s="58"/>
      <c r="V236" s="22">
        <f>SUM(V223:V235)</f>
        <v>346500</v>
      </c>
      <c r="W236" s="106">
        <f>SUM(W223:W235)</f>
        <v>228215.5</v>
      </c>
      <c r="X236" s="14">
        <f t="shared" si="115"/>
        <v>0.65863059163059168</v>
      </c>
      <c r="Y236" s="58"/>
      <c r="Z236" s="58"/>
      <c r="AA236" s="58"/>
      <c r="AB236" s="22">
        <f>SUM(AB223:AB235)</f>
        <v>346500</v>
      </c>
      <c r="AC236" s="106">
        <f>SUM(AC223:AC235)</f>
        <v>309175.66000000003</v>
      </c>
      <c r="AD236" s="14">
        <f t="shared" si="114"/>
        <v>0.8922818470418471</v>
      </c>
    </row>
    <row r="237" spans="1:30" x14ac:dyDescent="0.25">
      <c r="A237" s="7">
        <v>230</v>
      </c>
      <c r="B237" s="9"/>
      <c r="C237" s="9"/>
      <c r="D237" s="9"/>
      <c r="E237" s="9"/>
      <c r="F237" s="13"/>
      <c r="G237" s="13"/>
      <c r="M237" s="14">
        <f t="shared" si="116"/>
        <v>0</v>
      </c>
      <c r="T237" s="14">
        <f t="shared" si="117"/>
        <v>0</v>
      </c>
      <c r="X237" s="14">
        <f t="shared" si="115"/>
        <v>0</v>
      </c>
      <c r="AD237" s="14">
        <f t="shared" si="114"/>
        <v>0</v>
      </c>
    </row>
    <row r="238" spans="1:30" x14ac:dyDescent="0.25">
      <c r="A238" s="7">
        <v>231</v>
      </c>
      <c r="B238" s="9"/>
      <c r="C238" s="9"/>
      <c r="D238" s="9" t="s">
        <v>159</v>
      </c>
      <c r="E238" s="9"/>
      <c r="F238" s="13"/>
      <c r="G238" s="13"/>
      <c r="M238" s="14">
        <f t="shared" si="116"/>
        <v>0</v>
      </c>
      <c r="T238" s="14">
        <f t="shared" si="117"/>
        <v>0</v>
      </c>
      <c r="X238" s="14">
        <f t="shared" si="115"/>
        <v>0</v>
      </c>
      <c r="AD238" s="14">
        <f t="shared" si="114"/>
        <v>0</v>
      </c>
    </row>
    <row r="239" spans="1:30" x14ac:dyDescent="0.25">
      <c r="A239" s="7">
        <v>232</v>
      </c>
      <c r="B239" s="9"/>
      <c r="C239" s="9">
        <v>3319</v>
      </c>
      <c r="D239" s="9">
        <v>5169</v>
      </c>
      <c r="E239" s="9"/>
      <c r="F239" s="13" t="s">
        <v>160</v>
      </c>
      <c r="G239" s="13"/>
      <c r="H239" s="87">
        <v>24000</v>
      </c>
      <c r="K239" s="89">
        <f t="shared" ref="K239:K241" si="132">H239+I239+J239</f>
        <v>24000</v>
      </c>
      <c r="L239" s="90">
        <v>4000</v>
      </c>
      <c r="M239" s="14">
        <f t="shared" si="116"/>
        <v>0.16666666666666666</v>
      </c>
      <c r="R239" s="89">
        <f t="shared" ref="R239:R241" si="133">H239+I239+J239+N239+O239+P239+Q239</f>
        <v>24000</v>
      </c>
      <c r="S239" s="90">
        <v>12000</v>
      </c>
      <c r="T239" s="14">
        <f t="shared" si="117"/>
        <v>0.5</v>
      </c>
      <c r="V239" s="89">
        <f t="shared" ref="V239:V241" si="134">H239+I239+J239+N239+O239+P239+Q239+U239</f>
        <v>24000</v>
      </c>
      <c r="W239" s="90">
        <v>18000</v>
      </c>
      <c r="X239" s="14">
        <f t="shared" si="115"/>
        <v>0.75</v>
      </c>
      <c r="AB239" s="89">
        <f t="shared" ref="AB239:AB241" si="135">H239+I239+J239+N239+O239+P239+Q239+U239+Y239+Z239+AA239</f>
        <v>24000</v>
      </c>
      <c r="AC239" s="90">
        <v>24000</v>
      </c>
      <c r="AD239" s="14">
        <f t="shared" si="114"/>
        <v>1</v>
      </c>
    </row>
    <row r="240" spans="1:30" x14ac:dyDescent="0.25">
      <c r="A240" s="7">
        <v>233</v>
      </c>
      <c r="B240" s="9"/>
      <c r="C240" s="9">
        <v>3319</v>
      </c>
      <c r="D240" s="9">
        <v>5139</v>
      </c>
      <c r="E240" s="9"/>
      <c r="F240" s="13" t="s">
        <v>161</v>
      </c>
      <c r="G240" s="13"/>
      <c r="H240" s="87">
        <v>1000</v>
      </c>
      <c r="K240" s="89">
        <f t="shared" si="132"/>
        <v>1000</v>
      </c>
      <c r="L240" s="90">
        <v>0</v>
      </c>
      <c r="M240" s="14">
        <f t="shared" si="116"/>
        <v>0</v>
      </c>
      <c r="R240" s="89">
        <f t="shared" si="133"/>
        <v>1000</v>
      </c>
      <c r="S240" s="90">
        <v>0</v>
      </c>
      <c r="T240" s="14">
        <f t="shared" si="117"/>
        <v>0</v>
      </c>
      <c r="V240" s="89">
        <f t="shared" si="134"/>
        <v>1000</v>
      </c>
      <c r="W240" s="90">
        <v>0</v>
      </c>
      <c r="X240" s="14">
        <f t="shared" si="115"/>
        <v>0</v>
      </c>
      <c r="AB240" s="89">
        <f t="shared" si="135"/>
        <v>1000</v>
      </c>
      <c r="AC240" s="90">
        <v>0</v>
      </c>
      <c r="AD240" s="14">
        <f t="shared" si="114"/>
        <v>0</v>
      </c>
    </row>
    <row r="241" spans="1:30" x14ac:dyDescent="0.25">
      <c r="A241" s="7">
        <v>234</v>
      </c>
      <c r="B241" s="9"/>
      <c r="C241" s="9">
        <v>3319</v>
      </c>
      <c r="D241" s="9">
        <v>5169</v>
      </c>
      <c r="E241" s="9"/>
      <c r="F241" s="13" t="s">
        <v>109</v>
      </c>
      <c r="G241" s="13"/>
      <c r="H241" s="87">
        <v>1500</v>
      </c>
      <c r="K241" s="89">
        <f t="shared" si="132"/>
        <v>1500</v>
      </c>
      <c r="L241" s="90">
        <v>0</v>
      </c>
      <c r="M241" s="14">
        <f t="shared" si="116"/>
        <v>0</v>
      </c>
      <c r="R241" s="89">
        <f t="shared" si="133"/>
        <v>1500</v>
      </c>
      <c r="S241" s="90">
        <v>0</v>
      </c>
      <c r="T241" s="14">
        <f t="shared" si="117"/>
        <v>0</v>
      </c>
      <c r="V241" s="89">
        <f t="shared" si="134"/>
        <v>1500</v>
      </c>
      <c r="W241" s="90">
        <v>0</v>
      </c>
      <c r="X241" s="14">
        <f t="shared" si="115"/>
        <v>0</v>
      </c>
      <c r="AB241" s="89">
        <f t="shared" si="135"/>
        <v>1500</v>
      </c>
      <c r="AC241" s="90">
        <v>0</v>
      </c>
      <c r="AD241" s="14">
        <f t="shared" si="114"/>
        <v>0</v>
      </c>
    </row>
    <row r="242" spans="1:30" ht="13.8" x14ac:dyDescent="0.3">
      <c r="A242" s="7">
        <v>235</v>
      </c>
      <c r="B242" s="9"/>
      <c r="C242" s="9"/>
      <c r="D242" s="36" t="s">
        <v>162</v>
      </c>
      <c r="E242" s="36"/>
      <c r="F242" s="35"/>
      <c r="G242" s="35"/>
      <c r="H242" s="71">
        <f>SUM(H239:H241)</f>
        <v>26500</v>
      </c>
      <c r="I242" s="58">
        <f>SUM(I239:I241)</f>
        <v>0</v>
      </c>
      <c r="J242" s="58">
        <f>SUM(J239:J241)</f>
        <v>0</v>
      </c>
      <c r="K242" s="22">
        <f>SUM(K239:K241)</f>
        <v>26500</v>
      </c>
      <c r="L242" s="106">
        <f>SUM(L239:L241)</f>
        <v>4000</v>
      </c>
      <c r="M242" s="14">
        <f t="shared" si="116"/>
        <v>0.15094339622641509</v>
      </c>
      <c r="N242" s="58">
        <f t="shared" ref="N242:S242" si="136">SUM(N239:N241)</f>
        <v>0</v>
      </c>
      <c r="O242" s="58">
        <f t="shared" si="136"/>
        <v>0</v>
      </c>
      <c r="P242" s="58">
        <f t="shared" si="136"/>
        <v>0</v>
      </c>
      <c r="Q242" s="58">
        <f t="shared" si="136"/>
        <v>0</v>
      </c>
      <c r="R242" s="22">
        <f t="shared" si="136"/>
        <v>26500</v>
      </c>
      <c r="S242" s="106">
        <f t="shared" si="136"/>
        <v>12000</v>
      </c>
      <c r="T242" s="14">
        <f t="shared" si="117"/>
        <v>0.45283018867924529</v>
      </c>
      <c r="U242" s="58">
        <f t="shared" ref="U242" si="137">SUM(U239:U241)</f>
        <v>0</v>
      </c>
      <c r="V242" s="22">
        <f t="shared" ref="V242" si="138">SUM(V239:V241)</f>
        <v>26500</v>
      </c>
      <c r="W242" s="106">
        <v>16000</v>
      </c>
      <c r="X242" s="14">
        <f t="shared" si="115"/>
        <v>0.60377358490566035</v>
      </c>
      <c r="Y242" s="58">
        <f t="shared" ref="Y242:AB242" si="139">SUM(Y239:Y241)</f>
        <v>0</v>
      </c>
      <c r="Z242" s="58">
        <f t="shared" si="139"/>
        <v>0</v>
      </c>
      <c r="AA242" s="58">
        <f t="shared" si="139"/>
        <v>0</v>
      </c>
      <c r="AB242" s="22">
        <f t="shared" si="139"/>
        <v>26500</v>
      </c>
      <c r="AC242" s="106">
        <f>SUM(AC239:AC241)</f>
        <v>24000</v>
      </c>
      <c r="AD242" s="14">
        <f t="shared" si="114"/>
        <v>0.90566037735849059</v>
      </c>
    </row>
    <row r="243" spans="1:30" ht="13.8" x14ac:dyDescent="0.3">
      <c r="A243" s="7">
        <v>236</v>
      </c>
      <c r="B243" s="9"/>
      <c r="C243" s="9"/>
      <c r="D243" s="36"/>
      <c r="E243" s="36"/>
      <c r="F243" s="35"/>
      <c r="G243" s="35"/>
      <c r="H243" s="71"/>
      <c r="I243" s="58"/>
      <c r="J243" s="58"/>
      <c r="K243" s="22"/>
      <c r="L243" s="106"/>
      <c r="M243" s="14"/>
      <c r="N243" s="58"/>
      <c r="O243" s="58"/>
      <c r="P243" s="58"/>
      <c r="Q243" s="58"/>
      <c r="R243" s="22"/>
      <c r="S243" s="106"/>
      <c r="T243" s="14">
        <f t="shared" si="117"/>
        <v>0</v>
      </c>
      <c r="U243" s="58"/>
      <c r="V243" s="22"/>
      <c r="W243" s="106"/>
      <c r="X243" s="14">
        <f t="shared" si="115"/>
        <v>0</v>
      </c>
      <c r="Y243" s="58"/>
      <c r="Z243" s="58"/>
      <c r="AA243" s="58"/>
      <c r="AB243" s="22"/>
      <c r="AC243" s="106"/>
      <c r="AD243" s="14">
        <f t="shared" si="114"/>
        <v>0</v>
      </c>
    </row>
    <row r="244" spans="1:30" x14ac:dyDescent="0.25">
      <c r="A244" s="7">
        <v>237</v>
      </c>
      <c r="B244" s="9"/>
      <c r="C244" s="9">
        <v>3319</v>
      </c>
      <c r="D244" s="37">
        <v>5169</v>
      </c>
      <c r="E244" s="36"/>
      <c r="F244" s="34" t="s">
        <v>337</v>
      </c>
      <c r="G244" s="35"/>
      <c r="H244" s="71">
        <v>0</v>
      </c>
      <c r="I244" s="58"/>
      <c r="J244" s="58"/>
      <c r="K244" s="22">
        <v>0</v>
      </c>
      <c r="L244" s="90">
        <v>900.36</v>
      </c>
      <c r="M244" s="14">
        <f t="shared" si="116"/>
        <v>0</v>
      </c>
      <c r="N244" s="58"/>
      <c r="O244" s="58"/>
      <c r="P244" s="58">
        <v>15000</v>
      </c>
      <c r="Q244" s="58"/>
      <c r="R244" s="89">
        <f t="shared" ref="R244:R248" si="140">H244+I244+J244+N244+O244+P244+Q244</f>
        <v>15000</v>
      </c>
      <c r="S244" s="90">
        <v>5900.36</v>
      </c>
      <c r="T244" s="14">
        <f t="shared" si="117"/>
        <v>0.39335733333333334</v>
      </c>
      <c r="U244" s="58"/>
      <c r="V244" s="89">
        <f t="shared" ref="V244:V248" si="141">H244+I244+J244+N244+O244+P244+Q244+U244</f>
        <v>15000</v>
      </c>
      <c r="W244" s="90">
        <v>17466.099999999999</v>
      </c>
      <c r="X244" s="14">
        <f t="shared" si="115"/>
        <v>1.1644066666666666</v>
      </c>
      <c r="Y244" s="58"/>
      <c r="Z244" s="58"/>
      <c r="AA244" s="58"/>
      <c r="AB244" s="89">
        <f t="shared" ref="AB244:AB248" si="142">H244+I244+J244+N244+O244+P244+Q244+U244+Y244+Z244+AA244</f>
        <v>15000</v>
      </c>
      <c r="AC244" s="90">
        <v>17466.099999999999</v>
      </c>
      <c r="AD244" s="14">
        <f t="shared" si="114"/>
        <v>1.1644066666666666</v>
      </c>
    </row>
    <row r="245" spans="1:30" x14ac:dyDescent="0.25">
      <c r="A245" s="7">
        <v>238</v>
      </c>
      <c r="B245" s="9"/>
      <c r="C245" s="9">
        <v>3319</v>
      </c>
      <c r="D245" s="37">
        <v>5139</v>
      </c>
      <c r="E245" s="36"/>
      <c r="F245" s="34" t="s">
        <v>370</v>
      </c>
      <c r="G245" s="35"/>
      <c r="H245" s="71"/>
      <c r="I245" s="58"/>
      <c r="J245" s="58"/>
      <c r="K245" s="22"/>
      <c r="M245" s="14"/>
      <c r="N245" s="58"/>
      <c r="O245" s="58"/>
      <c r="P245" s="58"/>
      <c r="Q245" s="58"/>
      <c r="T245" s="14"/>
      <c r="U245" s="58"/>
      <c r="X245" s="14"/>
      <c r="Y245" s="58"/>
      <c r="Z245" s="58"/>
      <c r="AA245" s="58"/>
      <c r="AB245" s="89">
        <v>0</v>
      </c>
      <c r="AC245" s="90">
        <v>8389</v>
      </c>
      <c r="AD245" s="14">
        <f t="shared" si="114"/>
        <v>0</v>
      </c>
    </row>
    <row r="246" spans="1:30" x14ac:dyDescent="0.25">
      <c r="A246" s="7">
        <v>239</v>
      </c>
      <c r="B246" s="9"/>
      <c r="C246" s="9">
        <v>3319</v>
      </c>
      <c r="D246" s="37">
        <v>5164</v>
      </c>
      <c r="E246" s="36"/>
      <c r="F246" s="34" t="s">
        <v>349</v>
      </c>
      <c r="G246" s="35"/>
      <c r="H246" s="71">
        <v>0</v>
      </c>
      <c r="I246" s="58"/>
      <c r="J246" s="58"/>
      <c r="K246" s="22">
        <v>0</v>
      </c>
      <c r="L246" s="90">
        <v>0</v>
      </c>
      <c r="M246" s="14">
        <f t="shared" si="116"/>
        <v>0</v>
      </c>
      <c r="N246" s="58"/>
      <c r="O246" s="58"/>
      <c r="P246" s="58"/>
      <c r="Q246" s="58"/>
      <c r="R246" s="89">
        <f t="shared" si="140"/>
        <v>0</v>
      </c>
      <c r="S246" s="90">
        <v>4719</v>
      </c>
      <c r="T246" s="14">
        <f t="shared" si="117"/>
        <v>0</v>
      </c>
      <c r="U246" s="58"/>
      <c r="V246" s="89">
        <f t="shared" si="141"/>
        <v>0</v>
      </c>
      <c r="W246" s="90">
        <v>4719</v>
      </c>
      <c r="X246" s="14">
        <f t="shared" si="115"/>
        <v>0</v>
      </c>
      <c r="Y246" s="58"/>
      <c r="Z246" s="58"/>
      <c r="AA246" s="58"/>
      <c r="AB246" s="89">
        <f t="shared" si="142"/>
        <v>0</v>
      </c>
      <c r="AC246" s="90">
        <v>4719</v>
      </c>
      <c r="AD246" s="14">
        <f t="shared" si="114"/>
        <v>0</v>
      </c>
    </row>
    <row r="247" spans="1:30" x14ac:dyDescent="0.25">
      <c r="A247" s="7">
        <v>240</v>
      </c>
      <c r="B247" s="9"/>
      <c r="C247" s="9">
        <v>3319</v>
      </c>
      <c r="D247" s="37">
        <v>5169</v>
      </c>
      <c r="E247" s="36"/>
      <c r="F247" s="34" t="s">
        <v>338</v>
      </c>
      <c r="G247" s="35" t="s">
        <v>309</v>
      </c>
      <c r="H247" s="71">
        <v>200000</v>
      </c>
      <c r="I247" s="58"/>
      <c r="J247" s="58"/>
      <c r="K247" s="22">
        <v>200000</v>
      </c>
      <c r="L247" s="90">
        <v>75167.3</v>
      </c>
      <c r="M247" s="14">
        <f t="shared" si="116"/>
        <v>0.37583650000000002</v>
      </c>
      <c r="N247" s="58"/>
      <c r="O247" s="58"/>
      <c r="P247" s="58">
        <v>-18000</v>
      </c>
      <c r="Q247" s="58"/>
      <c r="R247" s="89">
        <f t="shared" si="140"/>
        <v>182000</v>
      </c>
      <c r="S247" s="90">
        <v>160658.51</v>
      </c>
      <c r="T247" s="14">
        <f t="shared" si="117"/>
        <v>0.88273906593406604</v>
      </c>
      <c r="U247" s="58"/>
      <c r="V247" s="89">
        <f t="shared" si="141"/>
        <v>182000</v>
      </c>
      <c r="W247" s="90">
        <v>162658.51</v>
      </c>
      <c r="X247" s="14">
        <f t="shared" si="115"/>
        <v>0.89372807692307699</v>
      </c>
      <c r="Y247" s="58"/>
      <c r="Z247" s="58"/>
      <c r="AA247" s="58"/>
      <c r="AB247" s="89">
        <f t="shared" si="142"/>
        <v>182000</v>
      </c>
      <c r="AC247" s="90">
        <f>191158.51-AC239</f>
        <v>167158.51</v>
      </c>
      <c r="AD247" s="14">
        <f t="shared" si="114"/>
        <v>0.91845335164835173</v>
      </c>
    </row>
    <row r="248" spans="1:30" x14ac:dyDescent="0.25">
      <c r="A248" s="7">
        <v>241</v>
      </c>
      <c r="B248" s="9"/>
      <c r="C248" s="9">
        <v>3319</v>
      </c>
      <c r="D248" s="37">
        <v>5175</v>
      </c>
      <c r="E248" s="36"/>
      <c r="F248" s="34" t="s">
        <v>339</v>
      </c>
      <c r="G248" s="35"/>
      <c r="H248" s="71">
        <v>0</v>
      </c>
      <c r="I248" s="58"/>
      <c r="J248" s="58"/>
      <c r="K248" s="22">
        <v>0</v>
      </c>
      <c r="L248" s="90">
        <v>1110</v>
      </c>
      <c r="M248" s="14">
        <f t="shared" si="116"/>
        <v>0</v>
      </c>
      <c r="N248" s="58"/>
      <c r="O248" s="58"/>
      <c r="P248" s="58">
        <v>3000</v>
      </c>
      <c r="Q248" s="58"/>
      <c r="R248" s="89">
        <f t="shared" si="140"/>
        <v>3000</v>
      </c>
      <c r="S248" s="90">
        <v>1110</v>
      </c>
      <c r="T248" s="14">
        <f t="shared" si="117"/>
        <v>0.37</v>
      </c>
      <c r="U248" s="58"/>
      <c r="V248" s="89">
        <f t="shared" si="141"/>
        <v>3000</v>
      </c>
      <c r="W248" s="90">
        <v>1110</v>
      </c>
      <c r="X248" s="14">
        <f t="shared" si="115"/>
        <v>0.37</v>
      </c>
      <c r="Y248" s="58"/>
      <c r="Z248" s="58"/>
      <c r="AA248" s="58"/>
      <c r="AB248" s="89">
        <f t="shared" si="142"/>
        <v>3000</v>
      </c>
      <c r="AC248" s="90">
        <v>1492</v>
      </c>
      <c r="AD248" s="14">
        <f t="shared" si="114"/>
        <v>0.49733333333333335</v>
      </c>
    </row>
    <row r="249" spans="1:30" ht="13.8" x14ac:dyDescent="0.3">
      <c r="A249" s="7">
        <v>242</v>
      </c>
      <c r="B249" s="9"/>
      <c r="C249" s="9"/>
      <c r="D249" s="36" t="s">
        <v>306</v>
      </c>
      <c r="E249" s="36"/>
      <c r="F249" s="35"/>
      <c r="G249" s="35"/>
      <c r="H249" s="71">
        <f>SUM(H244:H248)</f>
        <v>200000</v>
      </c>
      <c r="I249" s="58"/>
      <c r="J249" s="58"/>
      <c r="K249" s="22">
        <f>SUM(K244:K248)</f>
        <v>200000</v>
      </c>
      <c r="L249" s="106">
        <f>SUM(L244:L248)</f>
        <v>77177.66</v>
      </c>
      <c r="M249" s="14">
        <f t="shared" si="116"/>
        <v>0.38588830000000002</v>
      </c>
      <c r="N249" s="58"/>
      <c r="O249" s="58"/>
      <c r="P249" s="58">
        <f>SUM(P244:P248)</f>
        <v>0</v>
      </c>
      <c r="Q249" s="58"/>
      <c r="R249" s="22">
        <f>SUM(R244:R248)</f>
        <v>200000</v>
      </c>
      <c r="S249" s="106">
        <f>SUM(S244:S248)</f>
        <v>172387.87</v>
      </c>
      <c r="T249" s="14">
        <f t="shared" si="117"/>
        <v>0.86193934999999999</v>
      </c>
      <c r="U249" s="58"/>
      <c r="V249" s="22">
        <f>SUM(V244:V248)</f>
        <v>200000</v>
      </c>
      <c r="W249" s="106">
        <f>SUM(W244:W248)</f>
        <v>185953.61000000002</v>
      </c>
      <c r="X249" s="14">
        <f t="shared" si="115"/>
        <v>0.92976805000000007</v>
      </c>
      <c r="Y249" s="58"/>
      <c r="Z249" s="58"/>
      <c r="AA249" s="58"/>
      <c r="AB249" s="22">
        <f>SUM(AB244:AB248)</f>
        <v>200000</v>
      </c>
      <c r="AC249" s="106">
        <f>SUM(AC244:AC248)</f>
        <v>199224.61000000002</v>
      </c>
      <c r="AD249" s="14">
        <f t="shared" si="114"/>
        <v>0.99612305000000012</v>
      </c>
    </row>
    <row r="250" spans="1:30" ht="13.8" x14ac:dyDescent="0.3">
      <c r="A250" s="7">
        <v>243</v>
      </c>
      <c r="B250" s="9"/>
      <c r="C250" s="9"/>
      <c r="D250" s="36"/>
      <c r="E250" s="36"/>
      <c r="F250" s="35"/>
      <c r="G250" s="35"/>
      <c r="H250" s="71"/>
      <c r="I250" s="58"/>
      <c r="J250" s="58"/>
      <c r="K250" s="22"/>
      <c r="L250" s="106"/>
      <c r="M250" s="14">
        <f t="shared" si="116"/>
        <v>0</v>
      </c>
      <c r="N250" s="58"/>
      <c r="O250" s="58"/>
      <c r="P250" s="58"/>
      <c r="Q250" s="58"/>
      <c r="R250" s="22"/>
      <c r="S250" s="106"/>
      <c r="T250" s="14">
        <f t="shared" si="117"/>
        <v>0</v>
      </c>
      <c r="U250" s="58"/>
      <c r="V250" s="22"/>
      <c r="W250" s="106"/>
      <c r="X250" s="14">
        <f t="shared" si="115"/>
        <v>0</v>
      </c>
      <c r="Y250" s="58"/>
      <c r="Z250" s="58"/>
      <c r="AA250" s="58"/>
      <c r="AB250" s="22"/>
      <c r="AC250" s="106"/>
      <c r="AD250" s="14">
        <f t="shared" si="114"/>
        <v>0</v>
      </c>
    </row>
    <row r="251" spans="1:30" x14ac:dyDescent="0.25">
      <c r="A251" s="7">
        <v>244</v>
      </c>
      <c r="B251" s="9"/>
      <c r="C251" s="9">
        <v>3399</v>
      </c>
      <c r="D251" s="9">
        <v>5041</v>
      </c>
      <c r="E251" s="9"/>
      <c r="F251" s="13" t="s">
        <v>163</v>
      </c>
      <c r="G251" s="13"/>
      <c r="L251" s="90">
        <v>3525.34</v>
      </c>
      <c r="M251" s="14">
        <f t="shared" si="116"/>
        <v>0</v>
      </c>
      <c r="S251" s="90">
        <v>8020.3</v>
      </c>
      <c r="T251" s="14">
        <f t="shared" si="117"/>
        <v>0</v>
      </c>
      <c r="W251" s="90">
        <v>11020.3</v>
      </c>
      <c r="X251" s="14">
        <f t="shared" si="115"/>
        <v>0</v>
      </c>
      <c r="AC251" s="90">
        <v>19100.53</v>
      </c>
      <c r="AD251" s="14">
        <f t="shared" si="114"/>
        <v>0</v>
      </c>
    </row>
    <row r="252" spans="1:30" x14ac:dyDescent="0.25">
      <c r="A252" s="7">
        <v>245</v>
      </c>
      <c r="B252" s="9"/>
      <c r="C252" s="9">
        <v>3399</v>
      </c>
      <c r="D252" s="9">
        <v>5137</v>
      </c>
      <c r="E252" s="9"/>
      <c r="F252" s="13" t="s">
        <v>164</v>
      </c>
      <c r="G252" s="13"/>
      <c r="L252" s="90">
        <v>0</v>
      </c>
      <c r="M252" s="14">
        <f t="shared" si="116"/>
        <v>0</v>
      </c>
      <c r="S252" s="90">
        <v>0</v>
      </c>
      <c r="T252" s="14">
        <f t="shared" si="117"/>
        <v>0</v>
      </c>
      <c r="W252" s="90">
        <v>0</v>
      </c>
      <c r="X252" s="14">
        <f t="shared" si="115"/>
        <v>0</v>
      </c>
      <c r="AC252" s="90">
        <v>0</v>
      </c>
      <c r="AD252" s="14">
        <f t="shared" si="114"/>
        <v>0</v>
      </c>
    </row>
    <row r="253" spans="1:30" x14ac:dyDescent="0.25">
      <c r="A253" s="7">
        <v>246</v>
      </c>
      <c r="B253" s="9"/>
      <c r="C253" s="37">
        <v>3399</v>
      </c>
      <c r="D253" s="37">
        <v>5139</v>
      </c>
      <c r="E253" s="37"/>
      <c r="F253" s="34" t="s">
        <v>165</v>
      </c>
      <c r="G253" s="34"/>
      <c r="H253" s="87">
        <v>25000</v>
      </c>
      <c r="K253" s="89">
        <f t="shared" ref="K253:K268" si="143">H253+I253+J253</f>
        <v>25000</v>
      </c>
      <c r="L253" s="90">
        <v>0</v>
      </c>
      <c r="M253" s="14">
        <f t="shared" si="116"/>
        <v>0</v>
      </c>
      <c r="R253" s="89">
        <f t="shared" ref="R253:R268" si="144">H253+I253+J253+N253+O253+P253+Q253</f>
        <v>25000</v>
      </c>
      <c r="S253" s="90">
        <v>20000</v>
      </c>
      <c r="T253" s="14">
        <f t="shared" si="117"/>
        <v>0.8</v>
      </c>
      <c r="V253" s="89">
        <f t="shared" ref="V253:V268" si="145">H253+I253+J253+N253+O253+P253+Q253+U253</f>
        <v>25000</v>
      </c>
      <c r="W253" s="90">
        <v>23976</v>
      </c>
      <c r="X253" s="14">
        <f t="shared" si="115"/>
        <v>0.95904</v>
      </c>
      <c r="AB253" s="89">
        <f t="shared" ref="AB253:AB268" si="146">H253+I253+J253+N253+O253+P253+Q253+U253+Y253+Z253+AA253</f>
        <v>25000</v>
      </c>
      <c r="AC253" s="90">
        <f>36194.9-AC260</f>
        <v>32340</v>
      </c>
      <c r="AD253" s="14">
        <f t="shared" si="114"/>
        <v>1.2936000000000001</v>
      </c>
    </row>
    <row r="254" spans="1:30" x14ac:dyDescent="0.25">
      <c r="A254" s="7">
        <v>247</v>
      </c>
      <c r="B254" s="9"/>
      <c r="C254" s="37">
        <v>3399</v>
      </c>
      <c r="D254" s="37">
        <v>5161</v>
      </c>
      <c r="E254" s="37"/>
      <c r="F254" s="34" t="s">
        <v>166</v>
      </c>
      <c r="G254" s="34"/>
      <c r="K254" s="89">
        <f t="shared" si="143"/>
        <v>0</v>
      </c>
      <c r="L254" s="90">
        <v>0</v>
      </c>
      <c r="M254" s="14">
        <f t="shared" si="116"/>
        <v>0</v>
      </c>
      <c r="R254" s="89">
        <f t="shared" si="144"/>
        <v>0</v>
      </c>
      <c r="S254" s="90">
        <v>0</v>
      </c>
      <c r="T254" s="14">
        <f t="shared" si="117"/>
        <v>0</v>
      </c>
      <c r="V254" s="89">
        <f t="shared" si="145"/>
        <v>0</v>
      </c>
      <c r="W254" s="90">
        <v>0</v>
      </c>
      <c r="X254" s="14">
        <f t="shared" si="115"/>
        <v>0</v>
      </c>
      <c r="AB254" s="89">
        <f t="shared" si="146"/>
        <v>0</v>
      </c>
      <c r="AC254" s="90">
        <v>0</v>
      </c>
      <c r="AD254" s="14">
        <f t="shared" si="114"/>
        <v>0</v>
      </c>
    </row>
    <row r="255" spans="1:30" x14ac:dyDescent="0.25">
      <c r="A255" s="7">
        <v>248</v>
      </c>
      <c r="B255" s="37"/>
      <c r="C255" s="37">
        <v>3399</v>
      </c>
      <c r="D255" s="37">
        <v>5169</v>
      </c>
      <c r="E255" s="37"/>
      <c r="F255" s="34" t="s">
        <v>167</v>
      </c>
      <c r="G255" s="38" t="s">
        <v>309</v>
      </c>
      <c r="H255" s="87">
        <v>1000000</v>
      </c>
      <c r="K255" s="89">
        <f t="shared" si="143"/>
        <v>1000000</v>
      </c>
      <c r="L255" s="90">
        <f>227203.5-L257</f>
        <v>102243.5</v>
      </c>
      <c r="M255" s="14">
        <f t="shared" si="116"/>
        <v>0.1022435</v>
      </c>
      <c r="R255" s="89">
        <f t="shared" si="144"/>
        <v>1000000</v>
      </c>
      <c r="S255" s="90">
        <f>397606.49-S257</f>
        <v>214126.49</v>
      </c>
      <c r="T255" s="14">
        <f t="shared" si="117"/>
        <v>0.21412649</v>
      </c>
      <c r="U255" s="88">
        <v>50000</v>
      </c>
      <c r="V255" s="89">
        <f t="shared" si="145"/>
        <v>1050000</v>
      </c>
      <c r="W255" s="90">
        <v>394561.49</v>
      </c>
      <c r="X255" s="14">
        <f t="shared" si="115"/>
        <v>0.37577284761904761</v>
      </c>
      <c r="AB255" s="89">
        <f t="shared" si="146"/>
        <v>1050000</v>
      </c>
      <c r="AC255" s="90">
        <f>964435.4-AC257-AC259</f>
        <v>673427.4</v>
      </c>
      <c r="AD255" s="14">
        <f t="shared" si="114"/>
        <v>0.64135942857142858</v>
      </c>
    </row>
    <row r="256" spans="1:30" x14ac:dyDescent="0.25">
      <c r="A256" s="7">
        <v>249</v>
      </c>
      <c r="B256" s="37"/>
      <c r="C256" s="37">
        <v>3399</v>
      </c>
      <c r="D256" s="37">
        <v>5164</v>
      </c>
      <c r="E256" s="37"/>
      <c r="F256" s="34" t="s">
        <v>169</v>
      </c>
      <c r="G256" s="34"/>
      <c r="K256" s="89">
        <f t="shared" si="143"/>
        <v>0</v>
      </c>
      <c r="M256" s="14">
        <f t="shared" si="116"/>
        <v>0</v>
      </c>
      <c r="R256" s="89">
        <f t="shared" si="144"/>
        <v>0</v>
      </c>
      <c r="T256" s="14">
        <f t="shared" si="117"/>
        <v>0</v>
      </c>
      <c r="V256" s="89">
        <f t="shared" si="145"/>
        <v>0</v>
      </c>
      <c r="X256" s="14">
        <f t="shared" si="115"/>
        <v>0</v>
      </c>
      <c r="AB256" s="89">
        <f t="shared" si="146"/>
        <v>0</v>
      </c>
      <c r="AC256" s="90">
        <v>4477</v>
      </c>
      <c r="AD256" s="14">
        <f t="shared" si="114"/>
        <v>0</v>
      </c>
    </row>
    <row r="257" spans="1:30" x14ac:dyDescent="0.25">
      <c r="A257" s="7">
        <v>250</v>
      </c>
      <c r="B257" s="37"/>
      <c r="C257" s="37">
        <v>3399</v>
      </c>
      <c r="D257" s="37">
        <v>5169</v>
      </c>
      <c r="E257" s="37"/>
      <c r="F257" s="34" t="s">
        <v>170</v>
      </c>
      <c r="G257" s="38" t="s">
        <v>309</v>
      </c>
      <c r="H257" s="87">
        <v>600000</v>
      </c>
      <c r="K257" s="89">
        <f t="shared" si="143"/>
        <v>600000</v>
      </c>
      <c r="L257" s="90">
        <f>124960</f>
        <v>124960</v>
      </c>
      <c r="M257" s="14">
        <f t="shared" si="116"/>
        <v>0.20826666666666666</v>
      </c>
      <c r="R257" s="89">
        <f t="shared" si="144"/>
        <v>600000</v>
      </c>
      <c r="S257" s="90">
        <v>183480</v>
      </c>
      <c r="T257" s="14">
        <f t="shared" si="117"/>
        <v>0.30580000000000002</v>
      </c>
      <c r="U257" s="88">
        <v>-50000</v>
      </c>
      <c r="V257" s="89">
        <f t="shared" si="145"/>
        <v>550000</v>
      </c>
      <c r="W257" s="90">
        <v>183480</v>
      </c>
      <c r="X257" s="14">
        <f t="shared" si="115"/>
        <v>0.33360000000000001</v>
      </c>
      <c r="AB257" s="89">
        <f t="shared" si="146"/>
        <v>550000</v>
      </c>
      <c r="AC257" s="90">
        <v>274425</v>
      </c>
      <c r="AD257" s="14">
        <f t="shared" si="114"/>
        <v>0.49895454545454543</v>
      </c>
    </row>
    <row r="258" spans="1:30" x14ac:dyDescent="0.25">
      <c r="A258" s="7">
        <v>251</v>
      </c>
      <c r="B258" s="37"/>
      <c r="C258" s="37">
        <v>3399</v>
      </c>
      <c r="D258" s="37">
        <v>5175</v>
      </c>
      <c r="E258" s="37"/>
      <c r="F258" s="34" t="s">
        <v>307</v>
      </c>
      <c r="G258" s="38"/>
      <c r="H258" s="98"/>
      <c r="I258" s="99"/>
      <c r="J258" s="99"/>
      <c r="K258" s="89">
        <f t="shared" si="143"/>
        <v>0</v>
      </c>
      <c r="L258" s="100"/>
      <c r="M258" s="14">
        <f t="shared" si="116"/>
        <v>0</v>
      </c>
      <c r="N258" s="99"/>
      <c r="O258" s="99"/>
      <c r="Q258" s="99"/>
      <c r="R258" s="89">
        <f t="shared" si="144"/>
        <v>0</v>
      </c>
      <c r="S258" s="90">
        <v>2537</v>
      </c>
      <c r="T258" s="14">
        <f t="shared" si="117"/>
        <v>0</v>
      </c>
      <c r="U258" s="99"/>
      <c r="V258" s="89">
        <f t="shared" si="145"/>
        <v>0</v>
      </c>
      <c r="W258" s="90">
        <v>3106</v>
      </c>
      <c r="X258" s="14">
        <f t="shared" si="115"/>
        <v>0</v>
      </c>
      <c r="Y258" s="99"/>
      <c r="Z258" s="99"/>
      <c r="AA258" s="99"/>
      <c r="AB258" s="89">
        <f t="shared" si="146"/>
        <v>0</v>
      </c>
      <c r="AC258" s="90">
        <v>4247</v>
      </c>
      <c r="AD258" s="14">
        <f t="shared" si="114"/>
        <v>0</v>
      </c>
    </row>
    <row r="259" spans="1:30" x14ac:dyDescent="0.25">
      <c r="A259" s="7">
        <v>252</v>
      </c>
      <c r="B259" s="37"/>
      <c r="C259" s="37">
        <v>3399</v>
      </c>
      <c r="D259" s="37">
        <v>5169</v>
      </c>
      <c r="E259" s="37"/>
      <c r="F259" s="34" t="s">
        <v>356</v>
      </c>
      <c r="G259" s="38"/>
      <c r="H259" s="98"/>
      <c r="I259" s="99"/>
      <c r="J259" s="99"/>
      <c r="L259" s="100"/>
      <c r="M259" s="14"/>
      <c r="N259" s="99"/>
      <c r="O259" s="99"/>
      <c r="Q259" s="99"/>
      <c r="T259" s="14"/>
      <c r="U259" s="88">
        <v>30000</v>
      </c>
      <c r="V259" s="89">
        <f t="shared" si="145"/>
        <v>30000</v>
      </c>
      <c r="X259" s="14">
        <f t="shared" si="115"/>
        <v>0</v>
      </c>
      <c r="Y259" s="88">
        <v>-11000</v>
      </c>
      <c r="AB259" s="89">
        <f t="shared" si="146"/>
        <v>19000</v>
      </c>
      <c r="AC259" s="90">
        <v>16583</v>
      </c>
      <c r="AD259" s="14">
        <f t="shared" si="114"/>
        <v>0.87278947368421056</v>
      </c>
    </row>
    <row r="260" spans="1:30" x14ac:dyDescent="0.25">
      <c r="A260" s="7">
        <v>253</v>
      </c>
      <c r="B260" s="37"/>
      <c r="C260" s="37">
        <v>3399</v>
      </c>
      <c r="D260" s="37">
        <v>5169</v>
      </c>
      <c r="E260" s="37"/>
      <c r="F260" s="34" t="s">
        <v>365</v>
      </c>
      <c r="G260" s="38"/>
      <c r="H260" s="98"/>
      <c r="I260" s="99"/>
      <c r="J260" s="99"/>
      <c r="L260" s="100"/>
      <c r="M260" s="14"/>
      <c r="N260" s="99"/>
      <c r="O260" s="99"/>
      <c r="Q260" s="99"/>
      <c r="T260" s="14"/>
      <c r="X260" s="14"/>
      <c r="Y260" s="88">
        <v>4000</v>
      </c>
      <c r="AB260" s="89">
        <f t="shared" ref="AB260" si="147">H260+I260+J260+N260+O260+P260+Q260+U260+Y260+Z260+AA260</f>
        <v>4000</v>
      </c>
      <c r="AC260" s="90">
        <v>3854.9</v>
      </c>
      <c r="AD260" s="14">
        <f t="shared" si="114"/>
        <v>0.96372500000000005</v>
      </c>
    </row>
    <row r="261" spans="1:30" x14ac:dyDescent="0.25">
      <c r="A261" s="7">
        <v>254</v>
      </c>
      <c r="B261" s="37"/>
      <c r="C261" s="37">
        <v>3399</v>
      </c>
      <c r="D261" s="37">
        <v>5137</v>
      </c>
      <c r="E261" s="37"/>
      <c r="F261" s="34" t="s">
        <v>357</v>
      </c>
      <c r="G261" s="38"/>
      <c r="H261" s="98"/>
      <c r="I261" s="99"/>
      <c r="J261" s="99"/>
      <c r="L261" s="100"/>
      <c r="M261" s="14"/>
      <c r="N261" s="99"/>
      <c r="O261" s="99"/>
      <c r="Q261" s="99"/>
      <c r="T261" s="14"/>
      <c r="U261" s="88">
        <v>40000</v>
      </c>
      <c r="V261" s="89">
        <f t="shared" si="145"/>
        <v>40000</v>
      </c>
      <c r="X261" s="14">
        <f t="shared" si="115"/>
        <v>0</v>
      </c>
      <c r="Y261" s="88">
        <v>7000</v>
      </c>
      <c r="AB261" s="89">
        <f t="shared" si="146"/>
        <v>47000</v>
      </c>
      <c r="AC261" s="90">
        <v>46956</v>
      </c>
      <c r="AD261" s="14">
        <f t="shared" si="114"/>
        <v>0.99906382978723407</v>
      </c>
    </row>
    <row r="262" spans="1:30" x14ac:dyDescent="0.25">
      <c r="A262" s="7">
        <v>255</v>
      </c>
      <c r="B262" s="37"/>
      <c r="C262" s="37">
        <v>3419</v>
      </c>
      <c r="D262" s="37">
        <v>5041</v>
      </c>
      <c r="E262" s="37"/>
      <c r="F262" s="13" t="s">
        <v>171</v>
      </c>
      <c r="G262" s="13"/>
      <c r="K262" s="89">
        <f t="shared" si="143"/>
        <v>0</v>
      </c>
      <c r="M262" s="14">
        <f t="shared" ref="M262:M325" si="148">IF($K262=0,0,L262/$K262)</f>
        <v>0</v>
      </c>
      <c r="P262" s="88">
        <v>4300</v>
      </c>
      <c r="R262" s="89">
        <f t="shared" si="144"/>
        <v>4300</v>
      </c>
      <c r="T262" s="14">
        <f t="shared" si="117"/>
        <v>0</v>
      </c>
      <c r="V262" s="89">
        <f t="shared" si="145"/>
        <v>4300</v>
      </c>
      <c r="W262" s="90">
        <v>950</v>
      </c>
      <c r="X262" s="14">
        <f t="shared" si="115"/>
        <v>0.22093023255813954</v>
      </c>
      <c r="AB262" s="89">
        <f t="shared" si="146"/>
        <v>4300</v>
      </c>
      <c r="AC262" s="90">
        <v>950</v>
      </c>
      <c r="AD262" s="14">
        <f t="shared" si="114"/>
        <v>0.22093023255813954</v>
      </c>
    </row>
    <row r="263" spans="1:30" x14ac:dyDescent="0.25">
      <c r="A263" s="7">
        <v>256</v>
      </c>
      <c r="B263" s="37"/>
      <c r="C263" s="37">
        <v>3419</v>
      </c>
      <c r="D263" s="37">
        <v>5169</v>
      </c>
      <c r="E263" s="37"/>
      <c r="F263" s="13" t="s">
        <v>172</v>
      </c>
      <c r="G263" s="13"/>
      <c r="H263" s="87">
        <v>100000</v>
      </c>
      <c r="K263" s="89">
        <f t="shared" si="143"/>
        <v>100000</v>
      </c>
      <c r="M263" s="14">
        <f t="shared" si="148"/>
        <v>0</v>
      </c>
      <c r="P263" s="88">
        <v>-39000</v>
      </c>
      <c r="R263" s="89">
        <f t="shared" si="144"/>
        <v>61000</v>
      </c>
      <c r="T263" s="14">
        <f t="shared" si="117"/>
        <v>0</v>
      </c>
      <c r="V263" s="89">
        <f t="shared" si="145"/>
        <v>61000</v>
      </c>
      <c r="W263" s="90">
        <v>84674.6</v>
      </c>
      <c r="X263" s="14">
        <f t="shared" si="115"/>
        <v>1.3881081967213116</v>
      </c>
      <c r="AB263" s="89">
        <f t="shared" si="146"/>
        <v>61000</v>
      </c>
      <c r="AC263" s="90">
        <v>84674.6</v>
      </c>
      <c r="AD263" s="14">
        <f t="shared" si="114"/>
        <v>1.3881081967213116</v>
      </c>
    </row>
    <row r="264" spans="1:30" x14ac:dyDescent="0.25">
      <c r="A264" s="7">
        <v>257</v>
      </c>
      <c r="B264" s="37"/>
      <c r="C264" s="37">
        <v>3419</v>
      </c>
      <c r="D264" s="37">
        <v>5139</v>
      </c>
      <c r="E264" s="37"/>
      <c r="F264" s="13" t="s">
        <v>173</v>
      </c>
      <c r="G264" s="13"/>
      <c r="K264" s="89">
        <f t="shared" si="143"/>
        <v>0</v>
      </c>
      <c r="M264" s="14">
        <f t="shared" si="148"/>
        <v>0</v>
      </c>
      <c r="P264" s="88">
        <v>15000</v>
      </c>
      <c r="R264" s="89">
        <f t="shared" si="144"/>
        <v>15000</v>
      </c>
      <c r="S264" s="90">
        <v>4160</v>
      </c>
      <c r="T264" s="14">
        <f t="shared" si="117"/>
        <v>0.27733333333333332</v>
      </c>
      <c r="V264" s="89">
        <f t="shared" si="145"/>
        <v>15000</v>
      </c>
      <c r="W264" s="90">
        <v>14160</v>
      </c>
      <c r="X264" s="14">
        <f t="shared" si="115"/>
        <v>0.94399999999999995</v>
      </c>
      <c r="AB264" s="89">
        <f t="shared" si="146"/>
        <v>15000</v>
      </c>
      <c r="AC264" s="90">
        <v>14160</v>
      </c>
      <c r="AD264" s="14">
        <f t="shared" si="114"/>
        <v>0.94399999999999995</v>
      </c>
    </row>
    <row r="265" spans="1:30" x14ac:dyDescent="0.25">
      <c r="A265" s="7">
        <v>258</v>
      </c>
      <c r="B265" s="37"/>
      <c r="C265" s="9">
        <v>3419</v>
      </c>
      <c r="D265" s="9">
        <v>5164</v>
      </c>
      <c r="E265" s="9"/>
      <c r="F265" s="13" t="s">
        <v>174</v>
      </c>
      <c r="G265" s="13"/>
      <c r="K265" s="89">
        <f t="shared" si="143"/>
        <v>0</v>
      </c>
      <c r="M265" s="14">
        <f t="shared" si="148"/>
        <v>0</v>
      </c>
      <c r="P265" s="88">
        <v>19700</v>
      </c>
      <c r="R265" s="89">
        <f t="shared" si="144"/>
        <v>19700</v>
      </c>
      <c r="T265" s="14">
        <f t="shared" si="117"/>
        <v>0</v>
      </c>
      <c r="V265" s="89">
        <f t="shared" si="145"/>
        <v>19700</v>
      </c>
      <c r="X265" s="14">
        <f t="shared" si="115"/>
        <v>0</v>
      </c>
      <c r="AB265" s="89">
        <f t="shared" si="146"/>
        <v>19700</v>
      </c>
      <c r="AC265" s="90">
        <v>0</v>
      </c>
      <c r="AD265" s="14">
        <f t="shared" ref="AD265:AD328" si="149">IF($AB265=0,0,AC265/$AB265)</f>
        <v>0</v>
      </c>
    </row>
    <row r="266" spans="1:30" x14ac:dyDescent="0.25">
      <c r="A266" s="7">
        <v>259</v>
      </c>
      <c r="B266" s="37"/>
      <c r="C266" s="9">
        <v>3419</v>
      </c>
      <c r="D266" s="9">
        <v>5175</v>
      </c>
      <c r="E266" s="9"/>
      <c r="F266" s="13" t="s">
        <v>175</v>
      </c>
      <c r="G266" s="13"/>
      <c r="K266" s="89">
        <f t="shared" si="143"/>
        <v>0</v>
      </c>
      <c r="M266" s="14">
        <f t="shared" si="148"/>
        <v>0</v>
      </c>
      <c r="R266" s="89">
        <f t="shared" si="144"/>
        <v>0</v>
      </c>
      <c r="T266" s="14">
        <f t="shared" si="117"/>
        <v>0</v>
      </c>
      <c r="V266" s="89">
        <f t="shared" si="145"/>
        <v>0</v>
      </c>
      <c r="X266" s="14">
        <f t="shared" si="115"/>
        <v>0</v>
      </c>
      <c r="AB266" s="89">
        <f t="shared" si="146"/>
        <v>0</v>
      </c>
      <c r="AD266" s="14">
        <f t="shared" si="149"/>
        <v>0</v>
      </c>
    </row>
    <row r="267" spans="1:30" x14ac:dyDescent="0.25">
      <c r="A267" s="7">
        <v>260</v>
      </c>
      <c r="B267" s="9"/>
      <c r="C267" s="9">
        <v>3429</v>
      </c>
      <c r="D267" s="9">
        <v>5222</v>
      </c>
      <c r="E267" s="9"/>
      <c r="F267" s="13" t="s">
        <v>176</v>
      </c>
      <c r="G267" s="31"/>
      <c r="H267" s="87">
        <v>230000</v>
      </c>
      <c r="K267" s="89">
        <f t="shared" si="143"/>
        <v>230000</v>
      </c>
      <c r="L267" s="90">
        <v>159000</v>
      </c>
      <c r="M267" s="14">
        <f t="shared" si="148"/>
        <v>0.69130434782608696</v>
      </c>
      <c r="R267" s="89">
        <f t="shared" si="144"/>
        <v>230000</v>
      </c>
      <c r="S267" s="90">
        <v>159000</v>
      </c>
      <c r="T267" s="14">
        <f t="shared" si="117"/>
        <v>0.69130434782608696</v>
      </c>
      <c r="V267" s="89">
        <f t="shared" si="145"/>
        <v>230000</v>
      </c>
      <c r="W267" s="90">
        <v>189000</v>
      </c>
      <c r="X267" s="14">
        <f t="shared" si="115"/>
        <v>0.82173913043478264</v>
      </c>
      <c r="AB267" s="89">
        <f t="shared" si="146"/>
        <v>230000</v>
      </c>
      <c r="AC267" s="90">
        <v>189000</v>
      </c>
      <c r="AD267" s="14">
        <f t="shared" si="149"/>
        <v>0.82173913043478264</v>
      </c>
    </row>
    <row r="268" spans="1:30" x14ac:dyDescent="0.25">
      <c r="A268" s="7">
        <v>261</v>
      </c>
      <c r="B268" s="9"/>
      <c r="C268" s="9">
        <v>3399</v>
      </c>
      <c r="D268" s="9">
        <v>5223</v>
      </c>
      <c r="E268" s="9"/>
      <c r="F268" s="34" t="s">
        <v>177</v>
      </c>
      <c r="G268" s="34"/>
      <c r="H268" s="87">
        <v>15000</v>
      </c>
      <c r="K268" s="89">
        <f t="shared" si="143"/>
        <v>15000</v>
      </c>
      <c r="M268" s="14">
        <f t="shared" si="148"/>
        <v>0</v>
      </c>
      <c r="R268" s="89">
        <f t="shared" si="144"/>
        <v>15000</v>
      </c>
      <c r="T268" s="14">
        <f t="shared" si="117"/>
        <v>0</v>
      </c>
      <c r="V268" s="89">
        <f t="shared" si="145"/>
        <v>15000</v>
      </c>
      <c r="X268" s="14">
        <f t="shared" si="115"/>
        <v>0</v>
      </c>
      <c r="AB268" s="89">
        <f t="shared" si="146"/>
        <v>15000</v>
      </c>
      <c r="AD268" s="14">
        <f t="shared" si="149"/>
        <v>0</v>
      </c>
    </row>
    <row r="269" spans="1:30" x14ac:dyDescent="0.25">
      <c r="A269" s="7">
        <v>262</v>
      </c>
      <c r="B269" s="9"/>
      <c r="C269" s="9">
        <v>3639</v>
      </c>
      <c r="D269" s="9">
        <v>5229</v>
      </c>
      <c r="E269" s="9"/>
      <c r="F269" s="13" t="s">
        <v>178</v>
      </c>
      <c r="G269" s="13"/>
      <c r="M269" s="14">
        <f t="shared" si="148"/>
        <v>0</v>
      </c>
      <c r="T269" s="14">
        <f t="shared" si="117"/>
        <v>0</v>
      </c>
      <c r="X269" s="14">
        <f t="shared" si="115"/>
        <v>0</v>
      </c>
      <c r="AD269" s="14">
        <f t="shared" si="149"/>
        <v>0</v>
      </c>
    </row>
    <row r="270" spans="1:30" ht="13.8" thickBot="1" x14ac:dyDescent="0.3">
      <c r="A270" s="7">
        <v>263</v>
      </c>
      <c r="B270" s="9"/>
      <c r="C270" s="16" t="s">
        <v>179</v>
      </c>
      <c r="D270" s="16"/>
      <c r="E270" s="16"/>
      <c r="F270" s="17"/>
      <c r="G270" s="17"/>
      <c r="H270" s="74">
        <f>SUM(H251:H269)+H242+H236+H249</f>
        <v>2543000</v>
      </c>
      <c r="I270" s="83">
        <f>SUM(I251:I269)+I242+I236+I247</f>
        <v>0</v>
      </c>
      <c r="J270" s="83">
        <f>SUM(J251:J269)+J242+J236+J247</f>
        <v>0</v>
      </c>
      <c r="K270" s="32">
        <f>SUM(K251:K269)+K242+K236+K249</f>
        <v>2543000</v>
      </c>
      <c r="L270" s="108">
        <f>SUM(L251:L269)+L242+L236+L249</f>
        <v>533490.66</v>
      </c>
      <c r="M270" s="14">
        <f t="shared" si="148"/>
        <v>0.20978791191506097</v>
      </c>
      <c r="N270" s="83">
        <f>SUM(N251:N269)+N242+N236+N247</f>
        <v>0</v>
      </c>
      <c r="O270" s="83">
        <f>SUM(O251:O269)+O242+O236+O247</f>
        <v>0</v>
      </c>
      <c r="P270" s="83">
        <f>SUM(P251:P269)+P242+P236+P247</f>
        <v>-18000</v>
      </c>
      <c r="Q270" s="83">
        <f>SUM(Q251:Q269)+Q242+Q236+Q247</f>
        <v>0</v>
      </c>
      <c r="R270" s="32">
        <f>SUM(R251:R269)+R242+R236+R249</f>
        <v>2543000</v>
      </c>
      <c r="S270" s="108">
        <f>SUM(S251:S269)+S242+S236+S249</f>
        <v>923022.9800000001</v>
      </c>
      <c r="T270" s="112">
        <f t="shared" si="117"/>
        <v>0.36296617381046015</v>
      </c>
      <c r="U270" s="83">
        <f>SUM(U251:U269)+U242+U236+U247</f>
        <v>70000</v>
      </c>
      <c r="V270" s="32">
        <f>SUM(V251:V269)+V242+V236+V249</f>
        <v>2613000</v>
      </c>
      <c r="W270" s="108">
        <f>SUM(W251:W269)+W242+W236+W249</f>
        <v>1335097.5000000002</v>
      </c>
      <c r="X270" s="14">
        <f t="shared" ref="X270:X333" si="150">IF($V270=0,0,W270/$V270)</f>
        <v>0.5109443168771528</v>
      </c>
      <c r="Y270" s="83">
        <f>SUM(Y251:Y269)+Y242+Y236+Y247</f>
        <v>0</v>
      </c>
      <c r="Z270" s="83">
        <f>SUM(Z251:Z269)+Z242+Z236+Z247</f>
        <v>0</v>
      </c>
      <c r="AA270" s="83">
        <f>SUM(AA251:AA269)+AA242+AA236+AA247</f>
        <v>0</v>
      </c>
      <c r="AB270" s="32">
        <f>SUM(AB251:AB269)+AB242+AB236+AB249</f>
        <v>2613000</v>
      </c>
      <c r="AC270" s="108">
        <f>SUM(AC251:AC269)+AC242+AC236+AC249</f>
        <v>1896595.7000000004</v>
      </c>
      <c r="AD270" s="112">
        <f t="shared" si="149"/>
        <v>0.72583073096058182</v>
      </c>
    </row>
    <row r="271" spans="1:30" ht="13.8" thickTop="1" x14ac:dyDescent="0.25">
      <c r="A271" s="7">
        <v>264</v>
      </c>
      <c r="B271" s="9"/>
      <c r="C271" s="9"/>
      <c r="D271" s="9"/>
      <c r="E271" s="9"/>
      <c r="F271" s="13"/>
      <c r="G271" s="13"/>
      <c r="M271" s="14">
        <f t="shared" si="148"/>
        <v>0</v>
      </c>
      <c r="T271" s="14">
        <f t="shared" si="117"/>
        <v>0</v>
      </c>
      <c r="X271" s="14">
        <f t="shared" si="150"/>
        <v>0</v>
      </c>
      <c r="AD271" s="14">
        <f t="shared" si="149"/>
        <v>0</v>
      </c>
    </row>
    <row r="272" spans="1:30" x14ac:dyDescent="0.25">
      <c r="A272" s="7">
        <v>265</v>
      </c>
      <c r="B272" s="9" t="s">
        <v>180</v>
      </c>
      <c r="C272" s="9"/>
      <c r="D272" s="9"/>
      <c r="E272" s="9"/>
      <c r="F272" s="13"/>
      <c r="G272" s="13"/>
      <c r="M272" s="14">
        <f t="shared" si="148"/>
        <v>0</v>
      </c>
      <c r="T272" s="14">
        <f t="shared" si="117"/>
        <v>0</v>
      </c>
      <c r="X272" s="14">
        <f t="shared" si="150"/>
        <v>0</v>
      </c>
      <c r="AD272" s="14">
        <f t="shared" si="149"/>
        <v>0</v>
      </c>
    </row>
    <row r="273" spans="1:30" x14ac:dyDescent="0.25">
      <c r="A273" s="7">
        <v>266</v>
      </c>
      <c r="B273" s="9"/>
      <c r="C273" s="9">
        <v>5213</v>
      </c>
      <c r="D273" s="9">
        <v>5132</v>
      </c>
      <c r="E273" s="9"/>
      <c r="F273" s="13" t="s">
        <v>181</v>
      </c>
      <c r="G273" s="13"/>
      <c r="K273" s="89">
        <f t="shared" ref="K273:K280" si="151">H273+I273+J273</f>
        <v>0</v>
      </c>
      <c r="M273" s="14">
        <f t="shared" si="148"/>
        <v>0</v>
      </c>
      <c r="R273" s="89">
        <f t="shared" ref="R273:R280" si="152">H273+I273+J273+N273+O273+P273+Q273</f>
        <v>0</v>
      </c>
      <c r="T273" s="14">
        <f t="shared" si="117"/>
        <v>0</v>
      </c>
      <c r="V273" s="89">
        <f t="shared" ref="V273:V280" si="153">H273+I273+J273+N273+O273+P273+Q273+U273</f>
        <v>0</v>
      </c>
      <c r="X273" s="14">
        <f t="shared" si="150"/>
        <v>0</v>
      </c>
      <c r="AB273" s="89">
        <f t="shared" ref="AB273:AB280" si="154">H273+I273+J273+N273+O273+P273+Q273+U273+Y273+Z273+AA273</f>
        <v>0</v>
      </c>
      <c r="AC273" s="90">
        <v>105279.79</v>
      </c>
      <c r="AD273" s="14">
        <f t="shared" si="149"/>
        <v>0</v>
      </c>
    </row>
    <row r="274" spans="1:30" x14ac:dyDescent="0.25">
      <c r="A274" s="7">
        <v>267</v>
      </c>
      <c r="B274" s="9"/>
      <c r="C274" s="9">
        <v>5213</v>
      </c>
      <c r="D274" s="9">
        <v>5137</v>
      </c>
      <c r="E274" s="9"/>
      <c r="F274" s="13" t="s">
        <v>138</v>
      </c>
      <c r="G274" s="13"/>
      <c r="K274" s="89">
        <f t="shared" si="151"/>
        <v>0</v>
      </c>
      <c r="M274" s="14">
        <f t="shared" si="148"/>
        <v>0</v>
      </c>
      <c r="N274" s="88">
        <v>133700</v>
      </c>
      <c r="R274" s="89">
        <f t="shared" si="152"/>
        <v>133700</v>
      </c>
      <c r="S274" s="90">
        <v>0</v>
      </c>
      <c r="T274" s="14">
        <f t="shared" si="117"/>
        <v>0</v>
      </c>
      <c r="V274" s="89">
        <f t="shared" si="153"/>
        <v>133700</v>
      </c>
      <c r="W274" s="90">
        <v>14097</v>
      </c>
      <c r="X274" s="14">
        <f t="shared" si="150"/>
        <v>0.10543754674644727</v>
      </c>
      <c r="AB274" s="89">
        <f t="shared" si="154"/>
        <v>133700</v>
      </c>
      <c r="AC274" s="90">
        <v>115757.59</v>
      </c>
      <c r="AD274" s="14">
        <f t="shared" si="149"/>
        <v>0.8658009723261032</v>
      </c>
    </row>
    <row r="275" spans="1:30" x14ac:dyDescent="0.25">
      <c r="A275" s="7">
        <v>268</v>
      </c>
      <c r="B275" s="9"/>
      <c r="C275" s="9">
        <v>5213</v>
      </c>
      <c r="D275" s="9">
        <v>5139</v>
      </c>
      <c r="E275" s="9"/>
      <c r="F275" s="13" t="s">
        <v>182</v>
      </c>
      <c r="G275" s="13"/>
      <c r="K275" s="89">
        <f t="shared" si="151"/>
        <v>0</v>
      </c>
      <c r="M275" s="14">
        <f t="shared" si="148"/>
        <v>0</v>
      </c>
      <c r="N275" s="88">
        <v>100000</v>
      </c>
      <c r="R275" s="89">
        <f t="shared" si="152"/>
        <v>100000</v>
      </c>
      <c r="S275" s="90">
        <v>0</v>
      </c>
      <c r="T275" s="14">
        <f t="shared" ref="T275:T338" si="155">IF($R275=0,0,S275/$R275)</f>
        <v>0</v>
      </c>
      <c r="V275" s="89">
        <f t="shared" si="153"/>
        <v>100000</v>
      </c>
      <c r="W275" s="90">
        <v>0</v>
      </c>
      <c r="X275" s="14">
        <f t="shared" si="150"/>
        <v>0</v>
      </c>
      <c r="AB275" s="89">
        <f t="shared" si="154"/>
        <v>100000</v>
      </c>
      <c r="AC275" s="90">
        <v>12701.41</v>
      </c>
      <c r="AD275" s="14">
        <f t="shared" si="149"/>
        <v>0.12701409999999999</v>
      </c>
    </row>
    <row r="276" spans="1:30" x14ac:dyDescent="0.25">
      <c r="A276" s="7">
        <v>269</v>
      </c>
      <c r="B276" s="9"/>
      <c r="C276" s="9">
        <v>5213</v>
      </c>
      <c r="D276" s="9">
        <v>5156</v>
      </c>
      <c r="E276" s="9"/>
      <c r="F276" s="13" t="s">
        <v>183</v>
      </c>
      <c r="G276" s="13"/>
      <c r="K276" s="89">
        <f t="shared" si="151"/>
        <v>0</v>
      </c>
      <c r="M276" s="14">
        <f t="shared" si="148"/>
        <v>0</v>
      </c>
      <c r="R276" s="89">
        <f t="shared" si="152"/>
        <v>0</v>
      </c>
      <c r="T276" s="14">
        <f t="shared" si="155"/>
        <v>0</v>
      </c>
      <c r="V276" s="89">
        <f t="shared" si="153"/>
        <v>0</v>
      </c>
      <c r="X276" s="14">
        <f t="shared" si="150"/>
        <v>0</v>
      </c>
      <c r="AB276" s="89">
        <f t="shared" si="154"/>
        <v>0</v>
      </c>
      <c r="AD276" s="14">
        <f t="shared" si="149"/>
        <v>0</v>
      </c>
    </row>
    <row r="277" spans="1:30" x14ac:dyDescent="0.25">
      <c r="A277" s="7">
        <v>270</v>
      </c>
      <c r="B277" s="9"/>
      <c r="C277" s="9">
        <v>5213</v>
      </c>
      <c r="D277" s="9">
        <v>5169</v>
      </c>
      <c r="E277" s="9"/>
      <c r="F277" s="13" t="s">
        <v>184</v>
      </c>
      <c r="G277" s="13"/>
      <c r="K277" s="89">
        <f t="shared" si="151"/>
        <v>0</v>
      </c>
      <c r="M277" s="14">
        <f t="shared" si="148"/>
        <v>0</v>
      </c>
      <c r="R277" s="89">
        <f t="shared" si="152"/>
        <v>0</v>
      </c>
      <c r="T277" s="14">
        <f t="shared" si="155"/>
        <v>0</v>
      </c>
      <c r="V277" s="89">
        <f t="shared" si="153"/>
        <v>0</v>
      </c>
      <c r="X277" s="14">
        <f t="shared" si="150"/>
        <v>0</v>
      </c>
      <c r="AB277" s="89">
        <f t="shared" si="154"/>
        <v>0</v>
      </c>
      <c r="AD277" s="14">
        <f t="shared" si="149"/>
        <v>0</v>
      </c>
    </row>
    <row r="278" spans="1:30" x14ac:dyDescent="0.25">
      <c r="A278" s="7">
        <v>271</v>
      </c>
      <c r="B278" s="9"/>
      <c r="C278" s="9">
        <v>5213</v>
      </c>
      <c r="D278" s="9">
        <v>5171</v>
      </c>
      <c r="E278" s="9"/>
      <c r="F278" s="13" t="s">
        <v>185</v>
      </c>
      <c r="G278" s="13"/>
      <c r="K278" s="89">
        <f t="shared" si="151"/>
        <v>0</v>
      </c>
      <c r="M278" s="14">
        <f t="shared" si="148"/>
        <v>0</v>
      </c>
      <c r="R278" s="89">
        <f t="shared" si="152"/>
        <v>0</v>
      </c>
      <c r="T278" s="14">
        <f t="shared" si="155"/>
        <v>0</v>
      </c>
      <c r="V278" s="89">
        <f t="shared" si="153"/>
        <v>0</v>
      </c>
      <c r="X278" s="14">
        <f t="shared" si="150"/>
        <v>0</v>
      </c>
      <c r="AB278" s="89">
        <f t="shared" si="154"/>
        <v>0</v>
      </c>
      <c r="AD278" s="14">
        <f t="shared" si="149"/>
        <v>0</v>
      </c>
    </row>
    <row r="279" spans="1:30" x14ac:dyDescent="0.25">
      <c r="A279" s="7">
        <v>272</v>
      </c>
      <c r="B279" s="9"/>
      <c r="C279" s="9">
        <v>5213</v>
      </c>
      <c r="D279" s="9">
        <v>5179</v>
      </c>
      <c r="E279" s="9"/>
      <c r="F279" s="13" t="s">
        <v>186</v>
      </c>
      <c r="G279" s="13"/>
      <c r="K279" s="89">
        <f t="shared" si="151"/>
        <v>0</v>
      </c>
      <c r="M279" s="14">
        <f t="shared" si="148"/>
        <v>0</v>
      </c>
      <c r="R279" s="89">
        <f t="shared" si="152"/>
        <v>0</v>
      </c>
      <c r="T279" s="14">
        <f t="shared" si="155"/>
        <v>0</v>
      </c>
      <c r="V279" s="89">
        <f t="shared" si="153"/>
        <v>0</v>
      </c>
      <c r="X279" s="14">
        <f t="shared" si="150"/>
        <v>0</v>
      </c>
      <c r="AB279" s="89">
        <f t="shared" si="154"/>
        <v>0</v>
      </c>
      <c r="AD279" s="14">
        <f t="shared" si="149"/>
        <v>0</v>
      </c>
    </row>
    <row r="280" spans="1:30" x14ac:dyDescent="0.25">
      <c r="A280" s="7">
        <v>273</v>
      </c>
      <c r="B280" s="9"/>
      <c r="C280" s="9">
        <v>5213</v>
      </c>
      <c r="D280" s="9">
        <v>5492</v>
      </c>
      <c r="E280" s="9"/>
      <c r="F280" s="13" t="s">
        <v>187</v>
      </c>
      <c r="G280" s="13"/>
      <c r="K280" s="89">
        <f t="shared" si="151"/>
        <v>0</v>
      </c>
      <c r="M280" s="14">
        <f t="shared" si="148"/>
        <v>0</v>
      </c>
      <c r="R280" s="89">
        <f t="shared" si="152"/>
        <v>0</v>
      </c>
      <c r="T280" s="14">
        <f t="shared" si="155"/>
        <v>0</v>
      </c>
      <c r="V280" s="89">
        <f t="shared" si="153"/>
        <v>0</v>
      </c>
      <c r="X280" s="14">
        <f t="shared" si="150"/>
        <v>0</v>
      </c>
      <c r="AB280" s="89">
        <f t="shared" si="154"/>
        <v>0</v>
      </c>
      <c r="AD280" s="14">
        <f t="shared" si="149"/>
        <v>0</v>
      </c>
    </row>
    <row r="281" spans="1:30" ht="13.8" x14ac:dyDescent="0.3">
      <c r="A281" s="7">
        <v>274</v>
      </c>
      <c r="B281" s="9"/>
      <c r="C281" s="9"/>
      <c r="D281" s="36" t="s">
        <v>188</v>
      </c>
      <c r="E281" s="9"/>
      <c r="F281" s="13"/>
      <c r="G281" s="13"/>
      <c r="H281" s="71">
        <f>SUM(H273:H280)</f>
        <v>0</v>
      </c>
      <c r="I281" s="58">
        <f>SUM(I273:I280)</f>
        <v>0</v>
      </c>
      <c r="J281" s="58">
        <f>SUM(J273:J280)</f>
        <v>0</v>
      </c>
      <c r="K281" s="22">
        <f>SUM(K273:K280)</f>
        <v>0</v>
      </c>
      <c r="L281" s="106">
        <f>SUM(L273:L280)</f>
        <v>0</v>
      </c>
      <c r="M281" s="14">
        <f t="shared" si="148"/>
        <v>0</v>
      </c>
      <c r="N281" s="58">
        <f t="shared" ref="N281:S281" si="156">SUM(N273:N280)</f>
        <v>233700</v>
      </c>
      <c r="O281" s="58">
        <f t="shared" si="156"/>
        <v>0</v>
      </c>
      <c r="P281" s="58">
        <f t="shared" si="156"/>
        <v>0</v>
      </c>
      <c r="Q281" s="58">
        <f t="shared" si="156"/>
        <v>0</v>
      </c>
      <c r="R281" s="22">
        <f t="shared" si="156"/>
        <v>233700</v>
      </c>
      <c r="S281" s="106">
        <f t="shared" si="156"/>
        <v>0</v>
      </c>
      <c r="T281" s="14">
        <f t="shared" si="155"/>
        <v>0</v>
      </c>
      <c r="U281" s="58">
        <f t="shared" ref="U281" si="157">SUM(U273:U280)</f>
        <v>0</v>
      </c>
      <c r="V281" s="22">
        <f t="shared" ref="V281" si="158">SUM(V273:V280)</f>
        <v>233700</v>
      </c>
      <c r="W281" s="106">
        <f t="shared" ref="W281" si="159">SUM(W273:W280)</f>
        <v>14097</v>
      </c>
      <c r="X281" s="14">
        <f t="shared" si="150"/>
        <v>6.0320924261874201E-2</v>
      </c>
      <c r="Y281" s="58">
        <f t="shared" ref="Y281:AC281" si="160">SUM(Y273:Y280)</f>
        <v>0</v>
      </c>
      <c r="Z281" s="58">
        <f t="shared" si="160"/>
        <v>0</v>
      </c>
      <c r="AA281" s="58">
        <f t="shared" si="160"/>
        <v>0</v>
      </c>
      <c r="AB281" s="22">
        <f t="shared" si="160"/>
        <v>233700</v>
      </c>
      <c r="AC281" s="106">
        <f t="shared" si="160"/>
        <v>233738.79</v>
      </c>
      <c r="AD281" s="14">
        <f t="shared" si="149"/>
        <v>1.0001659820282414</v>
      </c>
    </row>
    <row r="282" spans="1:30" x14ac:dyDescent="0.25">
      <c r="A282" s="7">
        <v>275</v>
      </c>
      <c r="B282" s="9"/>
      <c r="C282" s="9"/>
      <c r="D282" s="9"/>
      <c r="E282" s="9"/>
      <c r="F282" s="13"/>
      <c r="G282" s="13"/>
      <c r="M282" s="14">
        <f t="shared" si="148"/>
        <v>0</v>
      </c>
      <c r="T282" s="14">
        <f t="shared" si="155"/>
        <v>0</v>
      </c>
      <c r="X282" s="14">
        <f t="shared" si="150"/>
        <v>0</v>
      </c>
      <c r="AD282" s="14">
        <f t="shared" si="149"/>
        <v>0</v>
      </c>
    </row>
    <row r="283" spans="1:30" x14ac:dyDescent="0.25">
      <c r="A283" s="7">
        <v>276</v>
      </c>
      <c r="B283" s="9"/>
      <c r="C283" s="9">
        <v>5299</v>
      </c>
      <c r="D283" s="9">
        <v>5229</v>
      </c>
      <c r="E283" s="9"/>
      <c r="F283" s="13" t="s">
        <v>189</v>
      </c>
      <c r="G283" s="13"/>
      <c r="K283" s="89">
        <f t="shared" ref="K283" si="161">H283+I283+J283</f>
        <v>0</v>
      </c>
      <c r="M283" s="14">
        <f t="shared" si="148"/>
        <v>0</v>
      </c>
      <c r="R283" s="89">
        <f t="shared" ref="R283" si="162">H283+I283+J283+N283+O283+P283+Q283</f>
        <v>0</v>
      </c>
      <c r="T283" s="14">
        <f t="shared" si="155"/>
        <v>0</v>
      </c>
      <c r="V283" s="89">
        <f t="shared" ref="V283" si="163">H283+I283+J283+N283+O283+P283+Q283+U283</f>
        <v>0</v>
      </c>
      <c r="X283" s="14">
        <f t="shared" si="150"/>
        <v>0</v>
      </c>
      <c r="AB283" s="89">
        <f t="shared" ref="AB283" si="164">H283+I283+J283+N283+O283+P283+Q283+U283+Y283+Z283+AA283</f>
        <v>0</v>
      </c>
      <c r="AD283" s="14">
        <f t="shared" si="149"/>
        <v>0</v>
      </c>
    </row>
    <row r="284" spans="1:30" x14ac:dyDescent="0.25">
      <c r="A284" s="7">
        <v>277</v>
      </c>
      <c r="B284" s="9"/>
      <c r="C284" s="9"/>
      <c r="D284" s="36" t="s">
        <v>190</v>
      </c>
      <c r="E284" s="9"/>
      <c r="F284" s="13"/>
      <c r="G284" s="13"/>
      <c r="H284" s="68">
        <f>H283</f>
        <v>0</v>
      </c>
      <c r="I284" s="56">
        <f>I283</f>
        <v>0</v>
      </c>
      <c r="J284" s="56">
        <f>J283</f>
        <v>0</v>
      </c>
      <c r="K284" s="12">
        <f>K283</f>
        <v>0</v>
      </c>
      <c r="L284" s="104">
        <f>L283</f>
        <v>0</v>
      </c>
      <c r="M284" s="14">
        <f t="shared" si="148"/>
        <v>0</v>
      </c>
      <c r="N284" s="56">
        <f t="shared" ref="N284:S284" si="165">N283</f>
        <v>0</v>
      </c>
      <c r="O284" s="56">
        <f t="shared" si="165"/>
        <v>0</v>
      </c>
      <c r="P284" s="56">
        <f t="shared" si="165"/>
        <v>0</v>
      </c>
      <c r="Q284" s="56">
        <f t="shared" si="165"/>
        <v>0</v>
      </c>
      <c r="R284" s="12">
        <f t="shared" si="165"/>
        <v>0</v>
      </c>
      <c r="S284" s="104">
        <f t="shared" si="165"/>
        <v>0</v>
      </c>
      <c r="T284" s="14">
        <f t="shared" si="155"/>
        <v>0</v>
      </c>
      <c r="U284" s="56">
        <f t="shared" ref="U284" si="166">U283</f>
        <v>0</v>
      </c>
      <c r="V284" s="12">
        <f t="shared" ref="V284" si="167">V283</f>
        <v>0</v>
      </c>
      <c r="W284" s="104">
        <f t="shared" ref="W284" si="168">W283</f>
        <v>0</v>
      </c>
      <c r="X284" s="14">
        <f t="shared" si="150"/>
        <v>0</v>
      </c>
      <c r="Y284" s="56">
        <f t="shared" ref="Y284:AC284" si="169">Y283</f>
        <v>0</v>
      </c>
      <c r="Z284" s="56">
        <f t="shared" si="169"/>
        <v>0</v>
      </c>
      <c r="AA284" s="56">
        <f t="shared" si="169"/>
        <v>0</v>
      </c>
      <c r="AB284" s="12">
        <f t="shared" si="169"/>
        <v>0</v>
      </c>
      <c r="AC284" s="104">
        <f t="shared" si="169"/>
        <v>0</v>
      </c>
      <c r="AD284" s="14">
        <f t="shared" si="149"/>
        <v>0</v>
      </c>
    </row>
    <row r="285" spans="1:30" x14ac:dyDescent="0.25">
      <c r="A285" s="7">
        <v>278</v>
      </c>
      <c r="B285" s="9"/>
      <c r="C285" s="9">
        <v>5399</v>
      </c>
      <c r="D285" s="9">
        <v>5169</v>
      </c>
      <c r="E285" s="9"/>
      <c r="F285" s="13" t="s">
        <v>130</v>
      </c>
      <c r="G285" s="13"/>
      <c r="M285" s="14">
        <f t="shared" si="148"/>
        <v>0</v>
      </c>
      <c r="T285" s="14">
        <f t="shared" si="155"/>
        <v>0</v>
      </c>
      <c r="X285" s="14">
        <f t="shared" si="150"/>
        <v>0</v>
      </c>
      <c r="AD285" s="14">
        <f t="shared" si="149"/>
        <v>0</v>
      </c>
    </row>
    <row r="286" spans="1:30" x14ac:dyDescent="0.25">
      <c r="A286" s="7">
        <v>279</v>
      </c>
      <c r="B286" s="9"/>
      <c r="C286" s="9">
        <v>5512</v>
      </c>
      <c r="D286" s="9">
        <v>5019</v>
      </c>
      <c r="E286" s="9"/>
      <c r="F286" s="13" t="s">
        <v>191</v>
      </c>
      <c r="G286" s="13"/>
      <c r="H286" s="87">
        <v>6600</v>
      </c>
      <c r="K286" s="89">
        <f t="shared" ref="K286:K308" si="170">H286+I286+J286</f>
        <v>6600</v>
      </c>
      <c r="M286" s="14">
        <f t="shared" si="148"/>
        <v>0</v>
      </c>
      <c r="R286" s="89">
        <f t="shared" ref="R286:R287" si="171">H286+I286+J286+N286+O286+P286+Q286</f>
        <v>6600</v>
      </c>
      <c r="S286" s="90">
        <v>0</v>
      </c>
      <c r="T286" s="14">
        <f t="shared" si="155"/>
        <v>0</v>
      </c>
      <c r="V286" s="89">
        <f t="shared" ref="V286:V308" si="172">H286+I286+J286+N286+O286+P286+Q286+U286</f>
        <v>6600</v>
      </c>
      <c r="W286" s="90">
        <v>0</v>
      </c>
      <c r="X286" s="14">
        <f t="shared" si="150"/>
        <v>0</v>
      </c>
      <c r="Z286" s="88">
        <v>-6600</v>
      </c>
      <c r="AB286" s="89">
        <f t="shared" ref="AB286:AB308" si="173">H286+I286+J286+N286+O286+P286+Q286+U286+Y286+Z286+AA286</f>
        <v>0</v>
      </c>
      <c r="AC286" s="90">
        <v>0</v>
      </c>
      <c r="AD286" s="14">
        <f t="shared" si="149"/>
        <v>0</v>
      </c>
    </row>
    <row r="287" spans="1:30" x14ac:dyDescent="0.25">
      <c r="A287" s="7">
        <v>280</v>
      </c>
      <c r="B287" s="9"/>
      <c r="C287" s="9">
        <v>5512</v>
      </c>
      <c r="D287" s="9">
        <v>5039</v>
      </c>
      <c r="E287" s="9"/>
      <c r="F287" s="13" t="s">
        <v>192</v>
      </c>
      <c r="G287" s="13"/>
      <c r="H287" s="87">
        <v>3400</v>
      </c>
      <c r="K287" s="89">
        <f t="shared" si="170"/>
        <v>3400</v>
      </c>
      <c r="M287" s="14">
        <f t="shared" si="148"/>
        <v>0</v>
      </c>
      <c r="R287" s="89">
        <f t="shared" si="171"/>
        <v>3400</v>
      </c>
      <c r="S287" s="90">
        <v>0</v>
      </c>
      <c r="T287" s="14">
        <f t="shared" si="155"/>
        <v>0</v>
      </c>
      <c r="V287" s="89">
        <f t="shared" si="172"/>
        <v>3400</v>
      </c>
      <c r="W287" s="90">
        <v>0</v>
      </c>
      <c r="X287" s="14">
        <f t="shared" si="150"/>
        <v>0</v>
      </c>
      <c r="Z287" s="88">
        <v>-3400</v>
      </c>
      <c r="AB287" s="89">
        <f t="shared" si="173"/>
        <v>0</v>
      </c>
      <c r="AC287" s="90">
        <v>0</v>
      </c>
      <c r="AD287" s="14">
        <f t="shared" si="149"/>
        <v>0</v>
      </c>
    </row>
    <row r="288" spans="1:30" ht="26.25" customHeight="1" x14ac:dyDescent="0.25">
      <c r="A288" s="7">
        <v>281</v>
      </c>
      <c r="B288" s="9"/>
      <c r="C288" s="9">
        <v>5512</v>
      </c>
      <c r="D288" s="9">
        <v>5132</v>
      </c>
      <c r="E288" s="9"/>
      <c r="F288" s="34" t="s">
        <v>193</v>
      </c>
      <c r="G288" s="34"/>
      <c r="H288" s="87">
        <v>46000</v>
      </c>
      <c r="K288" s="89">
        <f t="shared" si="170"/>
        <v>46000</v>
      </c>
      <c r="M288" s="14">
        <f t="shared" si="148"/>
        <v>0</v>
      </c>
      <c r="R288" s="89">
        <f t="shared" ref="R288:R308" si="174">H288+I288+J288+N288+O288+P288+Q288</f>
        <v>46000</v>
      </c>
      <c r="S288" s="90">
        <v>1164</v>
      </c>
      <c r="T288" s="14">
        <f t="shared" si="155"/>
        <v>2.5304347826086957E-2</v>
      </c>
      <c r="U288" s="88">
        <v>262000</v>
      </c>
      <c r="V288" s="89">
        <f t="shared" si="172"/>
        <v>308000</v>
      </c>
      <c r="W288" s="90">
        <v>1164</v>
      </c>
      <c r="X288" s="14">
        <f t="shared" si="150"/>
        <v>3.7792207792207793E-3</v>
      </c>
      <c r="Z288" s="88">
        <v>-62200</v>
      </c>
      <c r="AA288" s="88">
        <f>41500-41500-3600</f>
        <v>-3600</v>
      </c>
      <c r="AB288" s="89">
        <f t="shared" si="173"/>
        <v>242200</v>
      </c>
      <c r="AC288" s="90">
        <v>238863</v>
      </c>
      <c r="AD288" s="14">
        <f t="shared" si="149"/>
        <v>0.98622213047068541</v>
      </c>
    </row>
    <row r="289" spans="1:30" x14ac:dyDescent="0.25">
      <c r="A289" s="7">
        <v>282</v>
      </c>
      <c r="B289" s="9"/>
      <c r="C289" s="9">
        <v>5512</v>
      </c>
      <c r="D289" s="9">
        <v>5133</v>
      </c>
      <c r="E289" s="9"/>
      <c r="F289" s="34" t="s">
        <v>194</v>
      </c>
      <c r="G289" s="34"/>
      <c r="H289" s="87">
        <v>1000</v>
      </c>
      <c r="K289" s="89">
        <f t="shared" si="170"/>
        <v>1000</v>
      </c>
      <c r="M289" s="14">
        <f t="shared" si="148"/>
        <v>0</v>
      </c>
      <c r="R289" s="89">
        <f t="shared" si="174"/>
        <v>1000</v>
      </c>
      <c r="T289" s="14">
        <f t="shared" si="155"/>
        <v>0</v>
      </c>
      <c r="V289" s="89">
        <f t="shared" si="172"/>
        <v>1000</v>
      </c>
      <c r="X289" s="14">
        <f t="shared" si="150"/>
        <v>0</v>
      </c>
      <c r="AB289" s="89">
        <f t="shared" si="173"/>
        <v>1000</v>
      </c>
      <c r="AD289" s="14">
        <f t="shared" si="149"/>
        <v>0</v>
      </c>
    </row>
    <row r="290" spans="1:30" x14ac:dyDescent="0.25">
      <c r="A290" s="7">
        <v>283</v>
      </c>
      <c r="B290" s="9"/>
      <c r="C290" s="9">
        <v>5512</v>
      </c>
      <c r="D290" s="9">
        <v>5134</v>
      </c>
      <c r="E290" s="9"/>
      <c r="F290" s="34" t="s">
        <v>195</v>
      </c>
      <c r="G290" s="34"/>
      <c r="H290" s="87">
        <v>24000</v>
      </c>
      <c r="K290" s="89">
        <f t="shared" si="170"/>
        <v>24000</v>
      </c>
      <c r="M290" s="14">
        <f t="shared" si="148"/>
        <v>0</v>
      </c>
      <c r="R290" s="89">
        <f t="shared" si="174"/>
        <v>24000</v>
      </c>
      <c r="T290" s="14">
        <f t="shared" si="155"/>
        <v>0</v>
      </c>
      <c r="V290" s="89">
        <f t="shared" si="172"/>
        <v>24000</v>
      </c>
      <c r="X290" s="14">
        <f t="shared" si="150"/>
        <v>0</v>
      </c>
      <c r="Z290" s="88">
        <v>24800</v>
      </c>
      <c r="AB290" s="89">
        <f t="shared" si="173"/>
        <v>48800</v>
      </c>
      <c r="AC290" s="90">
        <v>48394.66</v>
      </c>
      <c r="AD290" s="14">
        <f t="shared" si="149"/>
        <v>0.99169385245901642</v>
      </c>
    </row>
    <row r="291" spans="1:30" x14ac:dyDescent="0.25">
      <c r="A291" s="7">
        <v>284</v>
      </c>
      <c r="B291" s="9"/>
      <c r="C291" s="9">
        <v>5512</v>
      </c>
      <c r="D291" s="9">
        <v>5137</v>
      </c>
      <c r="E291" s="9"/>
      <c r="F291" s="34" t="s">
        <v>196</v>
      </c>
      <c r="G291" s="34"/>
      <c r="H291" s="87">
        <v>50000</v>
      </c>
      <c r="K291" s="89">
        <f t="shared" si="170"/>
        <v>50000</v>
      </c>
      <c r="L291" s="90">
        <v>6040.58</v>
      </c>
      <c r="M291" s="14">
        <f t="shared" si="148"/>
        <v>0.12081160000000001</v>
      </c>
      <c r="R291" s="89">
        <f t="shared" si="174"/>
        <v>50000</v>
      </c>
      <c r="S291" s="90">
        <v>1929</v>
      </c>
      <c r="T291" s="14">
        <f t="shared" si="155"/>
        <v>3.8580000000000003E-2</v>
      </c>
      <c r="U291" s="88">
        <v>100000</v>
      </c>
      <c r="V291" s="89">
        <f t="shared" si="172"/>
        <v>150000</v>
      </c>
      <c r="W291" s="90">
        <v>1929</v>
      </c>
      <c r="X291" s="14">
        <f t="shared" si="150"/>
        <v>1.286E-2</v>
      </c>
      <c r="Z291" s="88">
        <v>-6000</v>
      </c>
      <c r="AA291" s="88">
        <f>14300+41500+3600</f>
        <v>59400</v>
      </c>
      <c r="AB291" s="89">
        <f t="shared" si="173"/>
        <v>203400</v>
      </c>
      <c r="AC291" s="90">
        <v>175300.1</v>
      </c>
      <c r="AD291" s="14">
        <f t="shared" si="149"/>
        <v>0.8618490658800394</v>
      </c>
    </row>
    <row r="292" spans="1:30" x14ac:dyDescent="0.25">
      <c r="A292" s="7">
        <v>285</v>
      </c>
      <c r="B292" s="9"/>
      <c r="C292" s="9">
        <v>5512</v>
      </c>
      <c r="D292" s="9">
        <v>5139</v>
      </c>
      <c r="E292" s="9"/>
      <c r="F292" s="34" t="s">
        <v>127</v>
      </c>
      <c r="G292" s="34"/>
      <c r="H292" s="87">
        <v>80000</v>
      </c>
      <c r="K292" s="89">
        <f t="shared" si="170"/>
        <v>80000</v>
      </c>
      <c r="L292" s="90">
        <v>12187</v>
      </c>
      <c r="M292" s="14">
        <f t="shared" si="148"/>
        <v>0.15233749999999999</v>
      </c>
      <c r="R292" s="89">
        <f t="shared" si="174"/>
        <v>80000</v>
      </c>
      <c r="S292" s="90">
        <v>29110</v>
      </c>
      <c r="T292" s="14">
        <f t="shared" si="155"/>
        <v>0.363875</v>
      </c>
      <c r="V292" s="89">
        <f t="shared" si="172"/>
        <v>80000</v>
      </c>
      <c r="W292" s="90">
        <v>33846</v>
      </c>
      <c r="X292" s="14">
        <f t="shared" si="150"/>
        <v>0.42307499999999998</v>
      </c>
      <c r="AB292" s="89">
        <f t="shared" si="173"/>
        <v>80000</v>
      </c>
      <c r="AC292" s="90">
        <v>54080.6</v>
      </c>
      <c r="AD292" s="14">
        <f t="shared" si="149"/>
        <v>0.67600749999999998</v>
      </c>
    </row>
    <row r="293" spans="1:30" x14ac:dyDescent="0.25">
      <c r="A293" s="7">
        <v>286</v>
      </c>
      <c r="B293" s="9"/>
      <c r="C293" s="9">
        <v>5512</v>
      </c>
      <c r="D293" s="9">
        <v>5151</v>
      </c>
      <c r="E293" s="9"/>
      <c r="F293" s="34" t="s">
        <v>197</v>
      </c>
      <c r="G293" s="34"/>
      <c r="H293" s="87">
        <v>20000</v>
      </c>
      <c r="K293" s="89">
        <f t="shared" si="170"/>
        <v>20000</v>
      </c>
      <c r="L293" s="90">
        <v>2290</v>
      </c>
      <c r="M293" s="14">
        <f t="shared" si="148"/>
        <v>0.1145</v>
      </c>
      <c r="R293" s="89">
        <f t="shared" si="174"/>
        <v>20000</v>
      </c>
      <c r="S293" s="90">
        <v>4881</v>
      </c>
      <c r="T293" s="14">
        <f t="shared" si="155"/>
        <v>0.24404999999999999</v>
      </c>
      <c r="V293" s="89">
        <f t="shared" si="172"/>
        <v>20000</v>
      </c>
      <c r="W293" s="90">
        <v>8747</v>
      </c>
      <c r="X293" s="14">
        <f t="shared" si="150"/>
        <v>0.43735000000000002</v>
      </c>
      <c r="AB293" s="89">
        <f t="shared" si="173"/>
        <v>20000</v>
      </c>
      <c r="AC293" s="90">
        <v>11237</v>
      </c>
      <c r="AD293" s="14">
        <f t="shared" si="149"/>
        <v>0.56184999999999996</v>
      </c>
    </row>
    <row r="294" spans="1:30" x14ac:dyDescent="0.25">
      <c r="A294" s="7">
        <v>287</v>
      </c>
      <c r="B294" s="9"/>
      <c r="C294" s="9">
        <v>5512</v>
      </c>
      <c r="D294" s="9">
        <v>5153</v>
      </c>
      <c r="E294" s="9"/>
      <c r="F294" s="34" t="s">
        <v>198</v>
      </c>
      <c r="G294" s="34" t="s">
        <v>309</v>
      </c>
      <c r="H294" s="87">
        <v>200000</v>
      </c>
      <c r="K294" s="89">
        <f t="shared" si="170"/>
        <v>200000</v>
      </c>
      <c r="L294" s="90">
        <v>14204.27</v>
      </c>
      <c r="M294" s="14">
        <f t="shared" si="148"/>
        <v>7.1021349999999997E-2</v>
      </c>
      <c r="R294" s="89">
        <f t="shared" si="174"/>
        <v>200000</v>
      </c>
      <c r="S294" s="90">
        <v>22904.27</v>
      </c>
      <c r="T294" s="14">
        <f t="shared" si="155"/>
        <v>0.11452135000000001</v>
      </c>
      <c r="V294" s="89">
        <f t="shared" si="172"/>
        <v>200000</v>
      </c>
      <c r="W294" s="90">
        <v>31604.27</v>
      </c>
      <c r="X294" s="14">
        <f t="shared" si="150"/>
        <v>0.15802135</v>
      </c>
      <c r="Z294" s="88">
        <v>-8200</v>
      </c>
      <c r="AB294" s="89">
        <f t="shared" si="173"/>
        <v>191800</v>
      </c>
      <c r="AC294" s="90">
        <v>40304.269999999997</v>
      </c>
      <c r="AD294" s="14">
        <f t="shared" si="149"/>
        <v>0.21013696558915534</v>
      </c>
    </row>
    <row r="295" spans="1:30" x14ac:dyDescent="0.25">
      <c r="A295" s="7">
        <v>288</v>
      </c>
      <c r="B295" s="9"/>
      <c r="C295" s="9">
        <v>5512</v>
      </c>
      <c r="D295" s="9">
        <v>5154</v>
      </c>
      <c r="E295" s="9"/>
      <c r="F295" s="34" t="s">
        <v>199</v>
      </c>
      <c r="G295" s="34" t="s">
        <v>309</v>
      </c>
      <c r="H295" s="87">
        <v>40000</v>
      </c>
      <c r="K295" s="89">
        <f t="shared" si="170"/>
        <v>40000</v>
      </c>
      <c r="L295" s="90">
        <v>3300</v>
      </c>
      <c r="M295" s="14">
        <f t="shared" si="148"/>
        <v>8.2500000000000004E-2</v>
      </c>
      <c r="R295" s="89">
        <f t="shared" si="174"/>
        <v>40000</v>
      </c>
      <c r="S295" s="90">
        <v>19778</v>
      </c>
      <c r="T295" s="14">
        <f t="shared" si="155"/>
        <v>0.49445</v>
      </c>
      <c r="V295" s="89">
        <f t="shared" si="172"/>
        <v>40000</v>
      </c>
      <c r="W295" s="90">
        <v>35285</v>
      </c>
      <c r="X295" s="14">
        <f t="shared" si="150"/>
        <v>0.88212500000000005</v>
      </c>
      <c r="Z295" s="88">
        <v>8200</v>
      </c>
      <c r="AB295" s="89">
        <f t="shared" si="173"/>
        <v>48200</v>
      </c>
      <c r="AC295" s="90">
        <v>48185</v>
      </c>
      <c r="AD295" s="14">
        <f t="shared" si="149"/>
        <v>0.99968879668049793</v>
      </c>
    </row>
    <row r="296" spans="1:30" x14ac:dyDescent="0.25">
      <c r="A296" s="7">
        <v>289</v>
      </c>
      <c r="B296" s="9"/>
      <c r="C296" s="9">
        <v>5512</v>
      </c>
      <c r="D296" s="9">
        <v>5156</v>
      </c>
      <c r="E296" s="9"/>
      <c r="F296" s="34" t="s">
        <v>200</v>
      </c>
      <c r="G296" s="34"/>
      <c r="H296" s="87">
        <v>90000</v>
      </c>
      <c r="K296" s="89">
        <f t="shared" si="170"/>
        <v>90000</v>
      </c>
      <c r="L296" s="90">
        <v>4327.43</v>
      </c>
      <c r="M296" s="14">
        <f t="shared" si="148"/>
        <v>4.8082555555555559E-2</v>
      </c>
      <c r="R296" s="89">
        <f t="shared" si="174"/>
        <v>90000</v>
      </c>
      <c r="S296" s="90">
        <v>31983.07</v>
      </c>
      <c r="T296" s="14">
        <f t="shared" si="155"/>
        <v>0.35536744444444446</v>
      </c>
      <c r="V296" s="89">
        <f t="shared" si="172"/>
        <v>90000</v>
      </c>
      <c r="W296" s="90">
        <v>58729.5</v>
      </c>
      <c r="X296" s="14">
        <f t="shared" si="150"/>
        <v>0.65254999999999996</v>
      </c>
      <c r="AB296" s="89">
        <f t="shared" si="173"/>
        <v>90000</v>
      </c>
      <c r="AC296" s="90">
        <v>82312.570000000007</v>
      </c>
      <c r="AD296" s="14">
        <f t="shared" si="149"/>
        <v>0.91458411111111115</v>
      </c>
    </row>
    <row r="297" spans="1:30" x14ac:dyDescent="0.25">
      <c r="A297" s="7">
        <v>290</v>
      </c>
      <c r="B297" s="9"/>
      <c r="C297" s="9">
        <v>5512</v>
      </c>
      <c r="D297" s="9">
        <v>5161</v>
      </c>
      <c r="E297" s="9"/>
      <c r="F297" s="34" t="s">
        <v>201</v>
      </c>
      <c r="G297" s="34"/>
      <c r="K297" s="89">
        <f t="shared" si="170"/>
        <v>0</v>
      </c>
      <c r="M297" s="14">
        <f t="shared" si="148"/>
        <v>0</v>
      </c>
      <c r="R297" s="89">
        <f t="shared" si="174"/>
        <v>0</v>
      </c>
      <c r="T297" s="14">
        <f t="shared" si="155"/>
        <v>0</v>
      </c>
      <c r="V297" s="89">
        <f t="shared" si="172"/>
        <v>0</v>
      </c>
      <c r="X297" s="14">
        <f t="shared" si="150"/>
        <v>0</v>
      </c>
      <c r="AB297" s="89">
        <f t="shared" si="173"/>
        <v>0</v>
      </c>
      <c r="AD297" s="14">
        <f t="shared" si="149"/>
        <v>0</v>
      </c>
    </row>
    <row r="298" spans="1:30" x14ac:dyDescent="0.25">
      <c r="A298" s="7">
        <v>291</v>
      </c>
      <c r="B298" s="9"/>
      <c r="C298" s="9">
        <v>5512</v>
      </c>
      <c r="D298" s="9">
        <v>5162</v>
      </c>
      <c r="E298" s="9"/>
      <c r="F298" s="34" t="s">
        <v>202</v>
      </c>
      <c r="G298" s="34"/>
      <c r="H298" s="87">
        <v>25000</v>
      </c>
      <c r="K298" s="89">
        <f t="shared" si="170"/>
        <v>25000</v>
      </c>
      <c r="L298" s="90">
        <v>16957.32</v>
      </c>
      <c r="M298" s="14">
        <f t="shared" si="148"/>
        <v>0.67829280000000003</v>
      </c>
      <c r="R298" s="89">
        <f t="shared" si="174"/>
        <v>25000</v>
      </c>
      <c r="S298" s="90">
        <v>19394.64</v>
      </c>
      <c r="T298" s="14">
        <f t="shared" si="155"/>
        <v>0.77578559999999996</v>
      </c>
      <c r="V298" s="89">
        <f t="shared" si="172"/>
        <v>25000</v>
      </c>
      <c r="W298" s="90">
        <v>22393.96</v>
      </c>
      <c r="X298" s="14">
        <f t="shared" si="150"/>
        <v>0.89575839999999995</v>
      </c>
      <c r="AB298" s="89">
        <f t="shared" si="173"/>
        <v>25000</v>
      </c>
      <c r="AC298" s="90">
        <v>25395.279999999999</v>
      </c>
      <c r="AD298" s="14">
        <f t="shared" si="149"/>
        <v>1.0158111999999999</v>
      </c>
    </row>
    <row r="299" spans="1:30" x14ac:dyDescent="0.25">
      <c r="A299" s="7">
        <v>292</v>
      </c>
      <c r="B299" s="9"/>
      <c r="C299" s="9">
        <v>5512</v>
      </c>
      <c r="D299" s="9">
        <v>5163</v>
      </c>
      <c r="E299" s="9"/>
      <c r="F299" s="13" t="s">
        <v>203</v>
      </c>
      <c r="G299" s="13"/>
      <c r="H299" s="87">
        <v>6000</v>
      </c>
      <c r="K299" s="89">
        <f t="shared" si="170"/>
        <v>6000</v>
      </c>
      <c r="M299" s="14">
        <f t="shared" si="148"/>
        <v>0</v>
      </c>
      <c r="R299" s="89">
        <f t="shared" si="174"/>
        <v>6000</v>
      </c>
      <c r="S299" s="90">
        <v>2400</v>
      </c>
      <c r="T299" s="14">
        <f t="shared" si="155"/>
        <v>0.4</v>
      </c>
      <c r="V299" s="89">
        <f t="shared" si="172"/>
        <v>6000</v>
      </c>
      <c r="W299" s="90">
        <v>5871</v>
      </c>
      <c r="X299" s="14">
        <f t="shared" si="150"/>
        <v>0.97850000000000004</v>
      </c>
      <c r="AB299" s="89">
        <f t="shared" si="173"/>
        <v>6000</v>
      </c>
      <c r="AC299" s="90">
        <v>5871</v>
      </c>
      <c r="AD299" s="14">
        <f t="shared" si="149"/>
        <v>0.97850000000000004</v>
      </c>
    </row>
    <row r="300" spans="1:30" x14ac:dyDescent="0.25">
      <c r="A300" s="7">
        <v>293</v>
      </c>
      <c r="B300" s="9"/>
      <c r="C300" s="9">
        <v>5512</v>
      </c>
      <c r="D300" s="9">
        <v>5164</v>
      </c>
      <c r="E300" s="9"/>
      <c r="F300" s="13" t="s">
        <v>136</v>
      </c>
      <c r="G300" s="13"/>
      <c r="K300" s="89">
        <f t="shared" si="170"/>
        <v>0</v>
      </c>
      <c r="M300" s="14">
        <f t="shared" si="148"/>
        <v>0</v>
      </c>
      <c r="R300" s="89">
        <f t="shared" si="174"/>
        <v>0</v>
      </c>
      <c r="T300" s="14">
        <f t="shared" si="155"/>
        <v>0</v>
      </c>
      <c r="V300" s="89">
        <f t="shared" si="172"/>
        <v>0</v>
      </c>
      <c r="X300" s="14">
        <f t="shared" si="150"/>
        <v>0</v>
      </c>
      <c r="AB300" s="89">
        <f t="shared" si="173"/>
        <v>0</v>
      </c>
      <c r="AD300" s="14">
        <f t="shared" si="149"/>
        <v>0</v>
      </c>
    </row>
    <row r="301" spans="1:30" x14ac:dyDescent="0.25">
      <c r="A301" s="7">
        <v>294</v>
      </c>
      <c r="B301" s="9"/>
      <c r="C301" s="9">
        <v>5512</v>
      </c>
      <c r="D301" s="9">
        <v>5167</v>
      </c>
      <c r="E301" s="9"/>
      <c r="F301" s="34" t="s">
        <v>204</v>
      </c>
      <c r="G301" s="34"/>
      <c r="H301" s="87">
        <v>24800</v>
      </c>
      <c r="K301" s="89">
        <f t="shared" si="170"/>
        <v>24800</v>
      </c>
      <c r="M301" s="14">
        <f t="shared" si="148"/>
        <v>0</v>
      </c>
      <c r="R301" s="89">
        <f t="shared" si="174"/>
        <v>24800</v>
      </c>
      <c r="T301" s="14">
        <f t="shared" si="155"/>
        <v>0</v>
      </c>
      <c r="V301" s="89">
        <f t="shared" si="172"/>
        <v>24800</v>
      </c>
      <c r="X301" s="14">
        <f t="shared" si="150"/>
        <v>0</v>
      </c>
      <c r="Z301" s="88">
        <v>-24800</v>
      </c>
      <c r="AB301" s="89">
        <f t="shared" si="173"/>
        <v>0</v>
      </c>
      <c r="AD301" s="14">
        <f t="shared" si="149"/>
        <v>0</v>
      </c>
    </row>
    <row r="302" spans="1:30" x14ac:dyDescent="0.25">
      <c r="A302" s="7">
        <v>295</v>
      </c>
      <c r="B302" s="9"/>
      <c r="C302" s="9">
        <v>5512</v>
      </c>
      <c r="D302" s="9">
        <v>5168</v>
      </c>
      <c r="E302" s="9"/>
      <c r="F302" s="9" t="s">
        <v>205</v>
      </c>
      <c r="G302" s="9"/>
      <c r="K302" s="89">
        <f t="shared" si="170"/>
        <v>0</v>
      </c>
      <c r="M302" s="14">
        <f t="shared" si="148"/>
        <v>0</v>
      </c>
      <c r="R302" s="89">
        <f t="shared" si="174"/>
        <v>0</v>
      </c>
      <c r="T302" s="14">
        <f t="shared" si="155"/>
        <v>0</v>
      </c>
      <c r="V302" s="89">
        <f t="shared" si="172"/>
        <v>0</v>
      </c>
      <c r="X302" s="14">
        <f t="shared" si="150"/>
        <v>0</v>
      </c>
      <c r="AB302" s="89">
        <f t="shared" si="173"/>
        <v>0</v>
      </c>
      <c r="AD302" s="14">
        <f t="shared" si="149"/>
        <v>0</v>
      </c>
    </row>
    <row r="303" spans="1:30" x14ac:dyDescent="0.25">
      <c r="A303" s="7">
        <v>296</v>
      </c>
      <c r="B303" s="9"/>
      <c r="C303" s="9">
        <v>5512</v>
      </c>
      <c r="D303" s="9">
        <v>5169</v>
      </c>
      <c r="E303" s="9"/>
      <c r="F303" s="34" t="s">
        <v>109</v>
      </c>
      <c r="G303" s="34"/>
      <c r="H303" s="87">
        <v>55000</v>
      </c>
      <c r="K303" s="89">
        <f t="shared" si="170"/>
        <v>55000</v>
      </c>
      <c r="L303" s="90">
        <v>16049</v>
      </c>
      <c r="M303" s="14">
        <f t="shared" si="148"/>
        <v>0.2918</v>
      </c>
      <c r="R303" s="89">
        <f t="shared" si="174"/>
        <v>55000</v>
      </c>
      <c r="S303" s="90">
        <v>24878.73</v>
      </c>
      <c r="T303" s="14">
        <f t="shared" si="155"/>
        <v>0.45234054545454544</v>
      </c>
      <c r="V303" s="89">
        <f t="shared" si="172"/>
        <v>55000</v>
      </c>
      <c r="W303" s="90">
        <v>43087.98</v>
      </c>
      <c r="X303" s="14">
        <f t="shared" si="150"/>
        <v>0.78341781818181822</v>
      </c>
      <c r="Z303" s="88">
        <v>10000</v>
      </c>
      <c r="AA303" s="88">
        <v>8800</v>
      </c>
      <c r="AB303" s="89">
        <f t="shared" si="173"/>
        <v>73800</v>
      </c>
      <c r="AC303" s="90">
        <v>57822.31</v>
      </c>
      <c r="AD303" s="14">
        <f t="shared" si="149"/>
        <v>0.783500135501355</v>
      </c>
    </row>
    <row r="304" spans="1:30" x14ac:dyDescent="0.25">
      <c r="A304" s="7">
        <v>297</v>
      </c>
      <c r="B304" s="9"/>
      <c r="C304" s="9">
        <v>5512</v>
      </c>
      <c r="D304" s="9">
        <v>5171</v>
      </c>
      <c r="E304" s="9"/>
      <c r="F304" s="34" t="s">
        <v>206</v>
      </c>
      <c r="G304" s="34"/>
      <c r="H304" s="87">
        <v>5000</v>
      </c>
      <c r="K304" s="89">
        <f t="shared" si="170"/>
        <v>5000</v>
      </c>
      <c r="M304" s="14">
        <f t="shared" si="148"/>
        <v>0</v>
      </c>
      <c r="R304" s="89">
        <f t="shared" si="174"/>
        <v>5000</v>
      </c>
      <c r="S304" s="90">
        <v>7856.53</v>
      </c>
      <c r="T304" s="14">
        <f t="shared" si="155"/>
        <v>1.5713059999999999</v>
      </c>
      <c r="U304" s="88">
        <v>231000</v>
      </c>
      <c r="V304" s="89">
        <f t="shared" si="172"/>
        <v>236000</v>
      </c>
      <c r="W304" s="90">
        <v>18540.53</v>
      </c>
      <c r="X304" s="14">
        <f t="shared" si="150"/>
        <v>7.8561567796610166E-2</v>
      </c>
      <c r="Z304" s="88">
        <v>5000</v>
      </c>
      <c r="AB304" s="89">
        <f t="shared" si="173"/>
        <v>241000</v>
      </c>
      <c r="AC304" s="90">
        <v>240989.91</v>
      </c>
      <c r="AD304" s="14">
        <f t="shared" si="149"/>
        <v>0.99995813278008305</v>
      </c>
    </row>
    <row r="305" spans="1:30" x14ac:dyDescent="0.25">
      <c r="A305" s="7">
        <v>298</v>
      </c>
      <c r="B305" s="9"/>
      <c r="C305" s="9">
        <v>5512</v>
      </c>
      <c r="D305" s="9">
        <v>5172</v>
      </c>
      <c r="E305" s="9"/>
      <c r="F305" s="9" t="s">
        <v>156</v>
      </c>
      <c r="G305" s="9"/>
      <c r="K305" s="89">
        <f t="shared" si="170"/>
        <v>0</v>
      </c>
      <c r="M305" s="14">
        <f t="shared" si="148"/>
        <v>0</v>
      </c>
      <c r="R305" s="89">
        <f t="shared" si="174"/>
        <v>0</v>
      </c>
      <c r="T305" s="14">
        <f t="shared" si="155"/>
        <v>0</v>
      </c>
      <c r="V305" s="89">
        <f t="shared" si="172"/>
        <v>0</v>
      </c>
      <c r="X305" s="14">
        <f t="shared" si="150"/>
        <v>0</v>
      </c>
      <c r="Z305" s="88">
        <v>62200</v>
      </c>
      <c r="AB305" s="89">
        <f t="shared" si="173"/>
        <v>62200</v>
      </c>
      <c r="AC305" s="90">
        <v>0</v>
      </c>
      <c r="AD305" s="14">
        <f t="shared" si="149"/>
        <v>0</v>
      </c>
    </row>
    <row r="306" spans="1:30" x14ac:dyDescent="0.25">
      <c r="A306" s="7">
        <v>299</v>
      </c>
      <c r="B306" s="9"/>
      <c r="C306" s="9">
        <v>5512</v>
      </c>
      <c r="D306" s="9">
        <v>5175</v>
      </c>
      <c r="E306" s="9"/>
      <c r="F306" s="34" t="s">
        <v>207</v>
      </c>
      <c r="G306" s="34"/>
      <c r="H306" s="87">
        <v>4000</v>
      </c>
      <c r="K306" s="89">
        <f t="shared" si="170"/>
        <v>4000</v>
      </c>
      <c r="M306" s="14">
        <f t="shared" si="148"/>
        <v>0</v>
      </c>
      <c r="R306" s="89">
        <f t="shared" si="174"/>
        <v>4000</v>
      </c>
      <c r="S306" s="90">
        <v>2205</v>
      </c>
      <c r="T306" s="14">
        <f t="shared" si="155"/>
        <v>0.55125000000000002</v>
      </c>
      <c r="V306" s="89">
        <f t="shared" si="172"/>
        <v>4000</v>
      </c>
      <c r="W306" s="90">
        <v>3146</v>
      </c>
      <c r="X306" s="14">
        <f t="shared" si="150"/>
        <v>0.78649999999999998</v>
      </c>
      <c r="Z306" s="88">
        <v>1000</v>
      </c>
      <c r="AB306" s="89">
        <f t="shared" si="173"/>
        <v>5000</v>
      </c>
      <c r="AC306" s="90">
        <v>4969</v>
      </c>
      <c r="AD306" s="14">
        <f t="shared" si="149"/>
        <v>0.99380000000000002</v>
      </c>
    </row>
    <row r="307" spans="1:30" x14ac:dyDescent="0.25">
      <c r="A307" s="7">
        <v>300</v>
      </c>
      <c r="B307" s="9"/>
      <c r="C307" s="9">
        <v>5512</v>
      </c>
      <c r="D307" s="9">
        <v>5222</v>
      </c>
      <c r="E307" s="9"/>
      <c r="F307" s="34" t="s">
        <v>208</v>
      </c>
      <c r="G307" s="34"/>
      <c r="H307" s="87">
        <v>30000</v>
      </c>
      <c r="K307" s="89">
        <f t="shared" si="170"/>
        <v>30000</v>
      </c>
      <c r="L307" s="90">
        <v>30000</v>
      </c>
      <c r="M307" s="14">
        <f t="shared" si="148"/>
        <v>1</v>
      </c>
      <c r="R307" s="89">
        <f t="shared" si="174"/>
        <v>30000</v>
      </c>
      <c r="S307" s="90">
        <v>30000</v>
      </c>
      <c r="T307" s="14">
        <f t="shared" si="155"/>
        <v>1</v>
      </c>
      <c r="V307" s="89">
        <f t="shared" si="172"/>
        <v>30000</v>
      </c>
      <c r="W307" s="90">
        <v>30000</v>
      </c>
      <c r="X307" s="14">
        <f t="shared" si="150"/>
        <v>1</v>
      </c>
      <c r="AB307" s="89">
        <f t="shared" si="173"/>
        <v>30000</v>
      </c>
      <c r="AC307" s="90">
        <v>30000</v>
      </c>
      <c r="AD307" s="14">
        <f t="shared" si="149"/>
        <v>1</v>
      </c>
    </row>
    <row r="308" spans="1:30" x14ac:dyDescent="0.25">
      <c r="A308" s="7">
        <v>301</v>
      </c>
      <c r="B308" s="9"/>
      <c r="C308" s="9">
        <v>5512</v>
      </c>
      <c r="D308" s="9">
        <v>5362</v>
      </c>
      <c r="E308" s="9"/>
      <c r="F308" s="34" t="s">
        <v>209</v>
      </c>
      <c r="G308" s="34"/>
      <c r="H308" s="87">
        <v>0</v>
      </c>
      <c r="K308" s="89">
        <f t="shared" si="170"/>
        <v>0</v>
      </c>
      <c r="M308" s="14">
        <f t="shared" si="148"/>
        <v>0</v>
      </c>
      <c r="R308" s="89">
        <f t="shared" si="174"/>
        <v>0</v>
      </c>
      <c r="T308" s="14">
        <f t="shared" si="155"/>
        <v>0</v>
      </c>
      <c r="V308" s="89">
        <f t="shared" si="172"/>
        <v>0</v>
      </c>
      <c r="X308" s="14">
        <f t="shared" si="150"/>
        <v>0</v>
      </c>
      <c r="AB308" s="89">
        <f t="shared" si="173"/>
        <v>0</v>
      </c>
      <c r="AD308" s="14">
        <f t="shared" si="149"/>
        <v>0</v>
      </c>
    </row>
    <row r="309" spans="1:30" x14ac:dyDescent="0.25">
      <c r="A309" s="7">
        <v>302</v>
      </c>
      <c r="B309" s="9"/>
      <c r="C309" s="9"/>
      <c r="D309" s="9"/>
      <c r="E309" s="9"/>
      <c r="F309" s="34"/>
      <c r="G309" s="34"/>
      <c r="M309" s="14">
        <f t="shared" si="148"/>
        <v>0</v>
      </c>
      <c r="T309" s="14">
        <f t="shared" si="155"/>
        <v>0</v>
      </c>
      <c r="X309" s="14">
        <f t="shared" si="150"/>
        <v>0</v>
      </c>
      <c r="AD309" s="14">
        <f t="shared" si="149"/>
        <v>0</v>
      </c>
    </row>
    <row r="310" spans="1:30" ht="13.8" thickBot="1" x14ac:dyDescent="0.3">
      <c r="A310" s="7">
        <v>303</v>
      </c>
      <c r="B310" s="9"/>
      <c r="C310" s="16" t="s">
        <v>210</v>
      </c>
      <c r="D310" s="16"/>
      <c r="E310" s="16"/>
      <c r="F310" s="17"/>
      <c r="G310" s="17"/>
      <c r="H310" s="72">
        <f>SUM(H285:H308)+H281+H284</f>
        <v>710800</v>
      </c>
      <c r="I310" s="82">
        <f>SUM(I285:I308)+I281+I284</f>
        <v>0</v>
      </c>
      <c r="J310" s="82">
        <f>SUM(J285:J308)+J281+J284</f>
        <v>0</v>
      </c>
      <c r="K310" s="53">
        <f>SUM(K285:K308)+K281+K284</f>
        <v>710800</v>
      </c>
      <c r="L310" s="107">
        <f>SUM(L285:L308)+L281+L284</f>
        <v>105355.6</v>
      </c>
      <c r="M310" s="14">
        <f t="shared" si="148"/>
        <v>0.14822115925717502</v>
      </c>
      <c r="N310" s="82">
        <f t="shared" ref="N310:S310" si="175">SUM(N285:N308)+N281+N284</f>
        <v>233700</v>
      </c>
      <c r="O310" s="82">
        <f t="shared" si="175"/>
        <v>0</v>
      </c>
      <c r="P310" s="82">
        <f t="shared" si="175"/>
        <v>0</v>
      </c>
      <c r="Q310" s="82">
        <f t="shared" si="175"/>
        <v>0</v>
      </c>
      <c r="R310" s="53">
        <f t="shared" si="175"/>
        <v>944500</v>
      </c>
      <c r="S310" s="107">
        <f t="shared" si="175"/>
        <v>198484.24</v>
      </c>
      <c r="T310" s="112">
        <f t="shared" si="155"/>
        <v>0.21014742191635785</v>
      </c>
      <c r="U310" s="82">
        <f t="shared" ref="U310:W310" si="176">SUM(U285:U308)+U281+U284</f>
        <v>593000</v>
      </c>
      <c r="V310" s="53">
        <f t="shared" si="176"/>
        <v>1537500</v>
      </c>
      <c r="W310" s="107">
        <f t="shared" si="176"/>
        <v>308441.24</v>
      </c>
      <c r="X310" s="112">
        <f t="shared" si="150"/>
        <v>0.20061218861788618</v>
      </c>
      <c r="Y310" s="82">
        <f t="shared" ref="Y310:AC310" si="177">SUM(Y285:Y308)+Y281+Y284</f>
        <v>0</v>
      </c>
      <c r="Z310" s="82">
        <f t="shared" si="177"/>
        <v>0</v>
      </c>
      <c r="AA310" s="82">
        <f t="shared" si="177"/>
        <v>64600</v>
      </c>
      <c r="AB310" s="53">
        <f t="shared" si="177"/>
        <v>1602100</v>
      </c>
      <c r="AC310" s="107">
        <f t="shared" si="177"/>
        <v>1297463.4900000002</v>
      </c>
      <c r="AD310" s="112">
        <f t="shared" si="149"/>
        <v>0.80985175082703964</v>
      </c>
    </row>
    <row r="311" spans="1:30" ht="13.8" thickTop="1" x14ac:dyDescent="0.25">
      <c r="A311" s="7">
        <v>304</v>
      </c>
      <c r="B311" s="9"/>
      <c r="C311" s="9"/>
      <c r="D311" s="9"/>
      <c r="E311" s="9"/>
      <c r="F311" s="13"/>
      <c r="G311" s="13"/>
      <c r="M311" s="14">
        <f t="shared" si="148"/>
        <v>0</v>
      </c>
      <c r="T311" s="14">
        <f t="shared" si="155"/>
        <v>0</v>
      </c>
      <c r="X311" s="14">
        <f t="shared" si="150"/>
        <v>0</v>
      </c>
      <c r="AD311" s="14">
        <f t="shared" si="149"/>
        <v>0</v>
      </c>
    </row>
    <row r="312" spans="1:30" x14ac:dyDescent="0.25">
      <c r="A312" s="7">
        <v>305</v>
      </c>
      <c r="B312" s="9" t="s">
        <v>211</v>
      </c>
      <c r="C312" s="9"/>
      <c r="D312" s="9"/>
      <c r="E312" s="9"/>
      <c r="F312" s="13"/>
      <c r="G312" s="13"/>
      <c r="M312" s="14">
        <f t="shared" si="148"/>
        <v>0</v>
      </c>
      <c r="T312" s="14">
        <f t="shared" si="155"/>
        <v>0</v>
      </c>
      <c r="X312" s="14">
        <f t="shared" si="150"/>
        <v>0</v>
      </c>
      <c r="AD312" s="14">
        <f t="shared" si="149"/>
        <v>0</v>
      </c>
    </row>
    <row r="313" spans="1:30" x14ac:dyDescent="0.25">
      <c r="A313" s="7">
        <v>306</v>
      </c>
      <c r="B313" s="9"/>
      <c r="C313" s="9"/>
      <c r="D313" s="9"/>
      <c r="E313" s="9"/>
      <c r="F313" s="13"/>
      <c r="G313" s="13"/>
      <c r="M313" s="14">
        <f t="shared" si="148"/>
        <v>0</v>
      </c>
      <c r="T313" s="14">
        <f t="shared" si="155"/>
        <v>0</v>
      </c>
      <c r="X313" s="14">
        <f t="shared" si="150"/>
        <v>0</v>
      </c>
      <c r="AD313" s="14">
        <f t="shared" si="149"/>
        <v>0</v>
      </c>
    </row>
    <row r="314" spans="1:30" x14ac:dyDescent="0.25">
      <c r="A314" s="7">
        <v>307</v>
      </c>
      <c r="B314" s="9"/>
      <c r="C314" s="9">
        <v>3612</v>
      </c>
      <c r="D314" s="9">
        <v>5137</v>
      </c>
      <c r="E314" s="9"/>
      <c r="F314" s="13" t="s">
        <v>154</v>
      </c>
      <c r="G314" s="13"/>
      <c r="H314" s="87">
        <v>100000</v>
      </c>
      <c r="K314" s="89">
        <f t="shared" ref="K314:K315" si="178">H314+I314+J314</f>
        <v>100000</v>
      </c>
      <c r="M314" s="14">
        <f t="shared" si="148"/>
        <v>0</v>
      </c>
      <c r="R314" s="89">
        <f t="shared" ref="R314:R315" si="179">H314+I314+J314+N314+O314+P314+Q314</f>
        <v>100000</v>
      </c>
      <c r="S314" s="90">
        <v>0</v>
      </c>
      <c r="T314" s="14">
        <f t="shared" si="155"/>
        <v>0</v>
      </c>
      <c r="V314" s="89">
        <f t="shared" ref="V314:V315" si="180">H314+I314+J314+N314+O314+P314+Q314+U314</f>
        <v>100000</v>
      </c>
      <c r="W314" s="90">
        <v>0</v>
      </c>
      <c r="X314" s="14">
        <f t="shared" si="150"/>
        <v>0</v>
      </c>
      <c r="AB314" s="89">
        <f t="shared" ref="AB314:AB315" si="181">H314+I314+J314+N314+O314+P314+Q314+U314+Y314+Z314+AA314</f>
        <v>100000</v>
      </c>
      <c r="AC314" s="90">
        <v>0</v>
      </c>
      <c r="AD314" s="14">
        <f t="shared" si="149"/>
        <v>0</v>
      </c>
    </row>
    <row r="315" spans="1:30" x14ac:dyDescent="0.25">
      <c r="A315" s="7">
        <v>308</v>
      </c>
      <c r="B315" s="9"/>
      <c r="C315" s="9">
        <v>3613</v>
      </c>
      <c r="D315" s="9">
        <v>5137</v>
      </c>
      <c r="E315" s="9"/>
      <c r="F315" s="13" t="s">
        <v>154</v>
      </c>
      <c r="G315" s="13"/>
      <c r="H315" s="87">
        <v>100000</v>
      </c>
      <c r="K315" s="89">
        <f t="shared" si="178"/>
        <v>100000</v>
      </c>
      <c r="L315" s="90">
        <v>3490</v>
      </c>
      <c r="M315" s="14">
        <f t="shared" si="148"/>
        <v>3.49E-2</v>
      </c>
      <c r="R315" s="89">
        <f t="shared" si="179"/>
        <v>100000</v>
      </c>
      <c r="S315" s="90">
        <v>7601.58</v>
      </c>
      <c r="T315" s="14">
        <f t="shared" si="155"/>
        <v>7.6015799999999994E-2</v>
      </c>
      <c r="V315" s="89">
        <f t="shared" si="180"/>
        <v>100000</v>
      </c>
      <c r="W315" s="90">
        <v>7601.58</v>
      </c>
      <c r="X315" s="14">
        <f t="shared" si="150"/>
        <v>7.6015799999999994E-2</v>
      </c>
      <c r="AB315" s="89">
        <f t="shared" si="181"/>
        <v>100000</v>
      </c>
      <c r="AC315" s="90">
        <v>7601.58</v>
      </c>
      <c r="AD315" s="14">
        <f t="shared" si="149"/>
        <v>7.6015799999999994E-2</v>
      </c>
    </row>
    <row r="316" spans="1:30" ht="13.8" thickBot="1" x14ac:dyDescent="0.3">
      <c r="A316" s="7">
        <v>309</v>
      </c>
      <c r="B316" s="9"/>
      <c r="C316" s="16" t="s">
        <v>212</v>
      </c>
      <c r="D316" s="16"/>
      <c r="E316" s="16"/>
      <c r="F316" s="17"/>
      <c r="G316" s="17"/>
      <c r="H316" s="65">
        <f>SUM(H314:H315)</f>
        <v>200000</v>
      </c>
      <c r="I316" s="78">
        <f>SUM(I314:I315)</f>
        <v>0</v>
      </c>
      <c r="J316" s="78">
        <f>SUM(J314:J315)</f>
        <v>0</v>
      </c>
      <c r="K316" s="18">
        <f>SUM(K314:K315)</f>
        <v>200000</v>
      </c>
      <c r="L316" s="101">
        <f>SUM(L314:L315)</f>
        <v>3490</v>
      </c>
      <c r="M316" s="14">
        <f t="shared" si="148"/>
        <v>1.745E-2</v>
      </c>
      <c r="N316" s="78">
        <f t="shared" ref="N316:S316" si="182">SUM(N314:N315)</f>
        <v>0</v>
      </c>
      <c r="O316" s="78">
        <f t="shared" si="182"/>
        <v>0</v>
      </c>
      <c r="P316" s="78">
        <f t="shared" si="182"/>
        <v>0</v>
      </c>
      <c r="Q316" s="78">
        <f t="shared" si="182"/>
        <v>0</v>
      </c>
      <c r="R316" s="18">
        <f t="shared" si="182"/>
        <v>200000</v>
      </c>
      <c r="S316" s="101">
        <f t="shared" si="182"/>
        <v>7601.58</v>
      </c>
      <c r="T316" s="112">
        <f t="shared" si="155"/>
        <v>3.8007899999999997E-2</v>
      </c>
      <c r="U316" s="78">
        <f t="shared" ref="U316" si="183">SUM(U314:U315)</f>
        <v>0</v>
      </c>
      <c r="V316" s="18">
        <f t="shared" ref="V316" si="184">SUM(V314:V315)</f>
        <v>200000</v>
      </c>
      <c r="W316" s="101">
        <f t="shared" ref="W316" si="185">SUM(W314:W315)</f>
        <v>7601.58</v>
      </c>
      <c r="X316" s="112">
        <f t="shared" si="150"/>
        <v>3.8007899999999997E-2</v>
      </c>
      <c r="Y316" s="78">
        <f t="shared" ref="Y316:AC316" si="186">SUM(Y314:Y315)</f>
        <v>0</v>
      </c>
      <c r="Z316" s="78">
        <f t="shared" si="186"/>
        <v>0</v>
      </c>
      <c r="AA316" s="78">
        <f t="shared" si="186"/>
        <v>0</v>
      </c>
      <c r="AB316" s="18">
        <f t="shared" si="186"/>
        <v>200000</v>
      </c>
      <c r="AC316" s="101">
        <f t="shared" si="186"/>
        <v>7601.58</v>
      </c>
      <c r="AD316" s="112">
        <f t="shared" si="149"/>
        <v>3.8007899999999997E-2</v>
      </c>
    </row>
    <row r="317" spans="1:30" ht="13.8" thickTop="1" x14ac:dyDescent="0.25">
      <c r="A317" s="7">
        <v>310</v>
      </c>
      <c r="B317" s="9"/>
      <c r="C317" s="9"/>
      <c r="D317" s="9"/>
      <c r="E317" s="9"/>
      <c r="F317" s="13"/>
      <c r="G317" s="13"/>
      <c r="M317" s="14">
        <f t="shared" si="148"/>
        <v>0</v>
      </c>
      <c r="T317" s="14">
        <f t="shared" si="155"/>
        <v>0</v>
      </c>
      <c r="X317" s="14">
        <f t="shared" si="150"/>
        <v>0</v>
      </c>
      <c r="AD317" s="14">
        <f t="shared" si="149"/>
        <v>0</v>
      </c>
    </row>
    <row r="318" spans="1:30" x14ac:dyDescent="0.25">
      <c r="A318" s="7">
        <v>311</v>
      </c>
      <c r="B318" s="9" t="s">
        <v>213</v>
      </c>
      <c r="C318" s="9"/>
      <c r="D318" s="9"/>
      <c r="E318" s="9"/>
      <c r="F318" s="13"/>
      <c r="G318" s="13"/>
      <c r="M318" s="14">
        <f t="shared" si="148"/>
        <v>0</v>
      </c>
      <c r="T318" s="14">
        <f t="shared" si="155"/>
        <v>0</v>
      </c>
      <c r="X318" s="14">
        <f t="shared" si="150"/>
        <v>0</v>
      </c>
      <c r="AD318" s="14">
        <f t="shared" si="149"/>
        <v>0</v>
      </c>
    </row>
    <row r="319" spans="1:30" x14ac:dyDescent="0.25">
      <c r="A319" s="7">
        <v>312</v>
      </c>
      <c r="B319" s="9"/>
      <c r="C319" s="9"/>
      <c r="D319" s="9" t="s">
        <v>214</v>
      </c>
      <c r="E319" s="9"/>
      <c r="F319" s="13"/>
      <c r="G319" s="13"/>
      <c r="M319" s="14">
        <f t="shared" si="148"/>
        <v>0</v>
      </c>
      <c r="T319" s="14">
        <f t="shared" si="155"/>
        <v>0</v>
      </c>
      <c r="X319" s="14">
        <f t="shared" si="150"/>
        <v>0</v>
      </c>
      <c r="AD319" s="14">
        <f t="shared" si="149"/>
        <v>0</v>
      </c>
    </row>
    <row r="320" spans="1:30" x14ac:dyDescent="0.25">
      <c r="A320" s="7">
        <v>313</v>
      </c>
      <c r="B320" s="9"/>
      <c r="C320" s="9">
        <v>6112</v>
      </c>
      <c r="D320" s="9">
        <v>5023</v>
      </c>
      <c r="E320" s="9"/>
      <c r="F320" s="13" t="s">
        <v>215</v>
      </c>
      <c r="G320" s="13"/>
      <c r="H320" s="87">
        <v>2600000</v>
      </c>
      <c r="K320" s="89">
        <f t="shared" ref="K320:K332" si="187">H320+I320+J320</f>
        <v>2600000</v>
      </c>
      <c r="L320" s="90">
        <v>371907</v>
      </c>
      <c r="M320" s="14">
        <f t="shared" si="148"/>
        <v>0.14304115384615385</v>
      </c>
      <c r="R320" s="89">
        <f t="shared" ref="R320:R332" si="188">H320+I320+J320+N320+O320+P320+Q320</f>
        <v>2600000</v>
      </c>
      <c r="S320" s="90">
        <v>916373</v>
      </c>
      <c r="T320" s="14">
        <f t="shared" si="155"/>
        <v>0.35245115384615383</v>
      </c>
      <c r="V320" s="89">
        <f t="shared" ref="V320:V332" si="189">H320+I320+J320+N320+O320+P320+Q320+U320</f>
        <v>2600000</v>
      </c>
      <c r="W320" s="90">
        <v>1462364</v>
      </c>
      <c r="X320" s="14">
        <f t="shared" si="150"/>
        <v>0.56244769230769232</v>
      </c>
      <c r="AB320" s="89">
        <f t="shared" ref="AB320:AB332" si="190">H320+I320+J320+N320+O320+P320+Q320+U320+Y320+Z320+AA320</f>
        <v>2600000</v>
      </c>
      <c r="AC320" s="90">
        <v>2276852</v>
      </c>
      <c r="AD320" s="14">
        <f t="shared" si="149"/>
        <v>0.87571230769230768</v>
      </c>
    </row>
    <row r="321" spans="1:30" x14ac:dyDescent="0.25">
      <c r="A321" s="7">
        <v>314</v>
      </c>
      <c r="B321" s="9"/>
      <c r="C321" s="9">
        <v>6112</v>
      </c>
      <c r="D321" s="9">
        <v>5021</v>
      </c>
      <c r="E321" s="9"/>
      <c r="F321" s="13" t="s">
        <v>151</v>
      </c>
      <c r="G321" s="13"/>
      <c r="H321" s="87">
        <v>36000</v>
      </c>
      <c r="K321" s="89">
        <f t="shared" si="187"/>
        <v>36000</v>
      </c>
      <c r="L321" s="90">
        <v>6000</v>
      </c>
      <c r="M321" s="14">
        <f t="shared" si="148"/>
        <v>0.16666666666666666</v>
      </c>
      <c r="R321" s="89">
        <f t="shared" si="188"/>
        <v>36000</v>
      </c>
      <c r="S321" s="90">
        <v>15000</v>
      </c>
      <c r="T321" s="14">
        <f t="shared" si="155"/>
        <v>0.41666666666666669</v>
      </c>
      <c r="V321" s="89">
        <f t="shared" si="189"/>
        <v>36000</v>
      </c>
      <c r="W321" s="90">
        <v>24000</v>
      </c>
      <c r="X321" s="14">
        <f t="shared" si="150"/>
        <v>0.66666666666666663</v>
      </c>
      <c r="AB321" s="89">
        <f t="shared" si="190"/>
        <v>36000</v>
      </c>
      <c r="AC321" s="90">
        <v>36446</v>
      </c>
      <c r="AD321" s="14">
        <f t="shared" si="149"/>
        <v>1.0123888888888888</v>
      </c>
    </row>
    <row r="322" spans="1:30" x14ac:dyDescent="0.25">
      <c r="A322" s="7">
        <v>315</v>
      </c>
      <c r="B322" s="9"/>
      <c r="C322" s="9">
        <v>6112</v>
      </c>
      <c r="D322" s="9">
        <v>5019</v>
      </c>
      <c r="E322" s="9"/>
      <c r="F322" s="13" t="s">
        <v>301</v>
      </c>
      <c r="G322" s="13"/>
      <c r="H322" s="87">
        <v>50000</v>
      </c>
      <c r="K322" s="89">
        <f t="shared" si="187"/>
        <v>50000</v>
      </c>
      <c r="L322" s="90">
        <v>3552</v>
      </c>
      <c r="M322" s="14">
        <f t="shared" si="148"/>
        <v>7.1040000000000006E-2</v>
      </c>
      <c r="R322" s="89">
        <f t="shared" si="188"/>
        <v>50000</v>
      </c>
      <c r="S322" s="90">
        <v>5887</v>
      </c>
      <c r="T322" s="14">
        <f t="shared" si="155"/>
        <v>0.11774</v>
      </c>
      <c r="V322" s="89">
        <f t="shared" si="189"/>
        <v>50000</v>
      </c>
      <c r="W322" s="90">
        <v>9596</v>
      </c>
      <c r="X322" s="14">
        <f t="shared" si="150"/>
        <v>0.19192000000000001</v>
      </c>
      <c r="AB322" s="89">
        <f t="shared" si="190"/>
        <v>50000</v>
      </c>
      <c r="AC322" s="90">
        <v>12973</v>
      </c>
      <c r="AD322" s="14">
        <f t="shared" si="149"/>
        <v>0.25946000000000002</v>
      </c>
    </row>
    <row r="323" spans="1:30" x14ac:dyDescent="0.25">
      <c r="A323" s="7">
        <v>316</v>
      </c>
      <c r="B323" s="9"/>
      <c r="C323" s="9">
        <v>6112</v>
      </c>
      <c r="D323" s="9">
        <v>5026</v>
      </c>
      <c r="E323" s="9"/>
      <c r="F323" s="13" t="s">
        <v>308</v>
      </c>
      <c r="G323" s="13"/>
      <c r="K323" s="89">
        <f t="shared" si="187"/>
        <v>0</v>
      </c>
      <c r="M323" s="14">
        <f t="shared" si="148"/>
        <v>0</v>
      </c>
      <c r="R323" s="89">
        <f t="shared" si="188"/>
        <v>0</v>
      </c>
      <c r="T323" s="14">
        <f t="shared" si="155"/>
        <v>0</v>
      </c>
      <c r="V323" s="89">
        <f t="shared" si="189"/>
        <v>0</v>
      </c>
      <c r="X323" s="14">
        <f t="shared" si="150"/>
        <v>0</v>
      </c>
      <c r="AB323" s="89">
        <f t="shared" si="190"/>
        <v>0</v>
      </c>
      <c r="AD323" s="14">
        <f t="shared" si="149"/>
        <v>0</v>
      </c>
    </row>
    <row r="324" spans="1:30" x14ac:dyDescent="0.25">
      <c r="A324" s="7">
        <v>317</v>
      </c>
      <c r="B324" s="9"/>
      <c r="C324" s="9">
        <v>6112</v>
      </c>
      <c r="D324" s="9">
        <v>5031</v>
      </c>
      <c r="E324" s="9"/>
      <c r="F324" s="13" t="s">
        <v>124</v>
      </c>
      <c r="G324" s="13"/>
      <c r="H324" s="87">
        <v>200000</v>
      </c>
      <c r="K324" s="89">
        <f t="shared" si="187"/>
        <v>200000</v>
      </c>
      <c r="L324" s="90">
        <v>38038</v>
      </c>
      <c r="M324" s="14">
        <f t="shared" si="148"/>
        <v>0.19019</v>
      </c>
      <c r="R324" s="89">
        <f t="shared" si="188"/>
        <v>200000</v>
      </c>
      <c r="S324" s="90">
        <v>87355</v>
      </c>
      <c r="T324" s="14">
        <f t="shared" si="155"/>
        <v>0.43677500000000002</v>
      </c>
      <c r="V324" s="89">
        <f t="shared" si="189"/>
        <v>200000</v>
      </c>
      <c r="W324" s="90">
        <v>136672</v>
      </c>
      <c r="X324" s="14">
        <f t="shared" si="150"/>
        <v>0.68335999999999997</v>
      </c>
      <c r="AB324" s="89">
        <f t="shared" si="190"/>
        <v>200000</v>
      </c>
      <c r="AC324" s="90">
        <v>222654</v>
      </c>
      <c r="AD324" s="14">
        <f t="shared" si="149"/>
        <v>1.11327</v>
      </c>
    </row>
    <row r="325" spans="1:30" x14ac:dyDescent="0.25">
      <c r="A325" s="7">
        <v>318</v>
      </c>
      <c r="B325" s="9"/>
      <c r="C325" s="9">
        <v>6112</v>
      </c>
      <c r="D325" s="9">
        <v>5032</v>
      </c>
      <c r="E325" s="9"/>
      <c r="F325" s="13" t="s">
        <v>125</v>
      </c>
      <c r="G325" s="13"/>
      <c r="H325" s="87">
        <v>230000</v>
      </c>
      <c r="K325" s="89">
        <f t="shared" si="187"/>
        <v>230000</v>
      </c>
      <c r="L325" s="90">
        <v>34006</v>
      </c>
      <c r="M325" s="14">
        <f t="shared" si="148"/>
        <v>0.14785217391304348</v>
      </c>
      <c r="R325" s="89">
        <f t="shared" si="188"/>
        <v>230000</v>
      </c>
      <c r="S325" s="90">
        <v>83810</v>
      </c>
      <c r="T325" s="14">
        <f t="shared" si="155"/>
        <v>0.36439130434782607</v>
      </c>
      <c r="V325" s="89">
        <f t="shared" si="189"/>
        <v>230000</v>
      </c>
      <c r="W325" s="90">
        <v>133752</v>
      </c>
      <c r="X325" s="14">
        <f t="shared" si="150"/>
        <v>0.58153043478260869</v>
      </c>
      <c r="AB325" s="89">
        <f t="shared" si="190"/>
        <v>230000</v>
      </c>
      <c r="AC325" s="90">
        <v>208126</v>
      </c>
      <c r="AD325" s="14">
        <f t="shared" si="149"/>
        <v>0.90489565217391299</v>
      </c>
    </row>
    <row r="326" spans="1:30" x14ac:dyDescent="0.25">
      <c r="A326" s="7">
        <v>319</v>
      </c>
      <c r="B326" s="9"/>
      <c r="C326" s="9">
        <v>6112</v>
      </c>
      <c r="D326" s="9">
        <v>5039</v>
      </c>
      <c r="E326" s="9"/>
      <c r="F326" s="13" t="s">
        <v>302</v>
      </c>
      <c r="G326" s="13"/>
      <c r="H326" s="87">
        <v>17000</v>
      </c>
      <c r="K326" s="89">
        <f t="shared" si="187"/>
        <v>17000</v>
      </c>
      <c r="L326" s="90">
        <v>1201</v>
      </c>
      <c r="M326" s="14">
        <f t="shared" ref="M326:M389" si="191">IF($K326=0,0,L326/$K326)</f>
        <v>7.064705882352941E-2</v>
      </c>
      <c r="R326" s="89">
        <f t="shared" si="188"/>
        <v>17000</v>
      </c>
      <c r="S326" s="90">
        <v>1988</v>
      </c>
      <c r="T326" s="14">
        <f t="shared" si="155"/>
        <v>0.11694117647058823</v>
      </c>
      <c r="V326" s="89">
        <f t="shared" si="189"/>
        <v>17000</v>
      </c>
      <c r="W326" s="90">
        <v>3242</v>
      </c>
      <c r="X326" s="14">
        <f t="shared" si="150"/>
        <v>0.19070588235294117</v>
      </c>
      <c r="AB326" s="89">
        <f t="shared" si="190"/>
        <v>17000</v>
      </c>
      <c r="AC326" s="90">
        <v>4382</v>
      </c>
      <c r="AD326" s="14">
        <f t="shared" si="149"/>
        <v>0.25776470588235295</v>
      </c>
    </row>
    <row r="327" spans="1:30" x14ac:dyDescent="0.25">
      <c r="A327" s="7">
        <v>320</v>
      </c>
      <c r="B327" s="9"/>
      <c r="C327" s="9">
        <v>6112</v>
      </c>
      <c r="D327" s="9">
        <v>5162</v>
      </c>
      <c r="E327" s="9"/>
      <c r="F327" s="13" t="s">
        <v>216</v>
      </c>
      <c r="G327" s="13"/>
      <c r="H327" s="87">
        <v>33000</v>
      </c>
      <c r="K327" s="89">
        <f t="shared" si="187"/>
        <v>33000</v>
      </c>
      <c r="L327" s="90">
        <v>5939</v>
      </c>
      <c r="M327" s="14">
        <f t="shared" si="191"/>
        <v>0.17996969696969697</v>
      </c>
      <c r="R327" s="89">
        <f t="shared" si="188"/>
        <v>33000</v>
      </c>
      <c r="S327" s="90">
        <v>11864</v>
      </c>
      <c r="T327" s="14">
        <f t="shared" si="155"/>
        <v>0.35951515151515151</v>
      </c>
      <c r="V327" s="89">
        <f t="shared" si="189"/>
        <v>33000</v>
      </c>
      <c r="W327" s="90">
        <v>18213</v>
      </c>
      <c r="X327" s="14">
        <f t="shared" si="150"/>
        <v>0.5519090909090909</v>
      </c>
      <c r="AB327" s="89">
        <f t="shared" si="190"/>
        <v>33000</v>
      </c>
      <c r="AC327" s="90">
        <v>24558</v>
      </c>
      <c r="AD327" s="14">
        <f t="shared" si="149"/>
        <v>0.74418181818181817</v>
      </c>
    </row>
    <row r="328" spans="1:30" x14ac:dyDescent="0.25">
      <c r="A328" s="7">
        <v>321</v>
      </c>
      <c r="B328" s="9"/>
      <c r="C328" s="9">
        <v>6112</v>
      </c>
      <c r="D328" s="9">
        <v>5169</v>
      </c>
      <c r="E328" s="9"/>
      <c r="F328" s="13" t="s">
        <v>130</v>
      </c>
      <c r="G328" s="13"/>
      <c r="K328" s="89">
        <f t="shared" si="187"/>
        <v>0</v>
      </c>
      <c r="M328" s="14">
        <f t="shared" si="191"/>
        <v>0</v>
      </c>
      <c r="R328" s="89">
        <f t="shared" si="188"/>
        <v>0</v>
      </c>
      <c r="S328" s="90">
        <v>1100</v>
      </c>
      <c r="T328" s="14">
        <f t="shared" si="155"/>
        <v>0</v>
      </c>
      <c r="V328" s="89">
        <f t="shared" si="189"/>
        <v>0</v>
      </c>
      <c r="W328" s="90">
        <v>1100</v>
      </c>
      <c r="X328" s="14">
        <f t="shared" si="150"/>
        <v>0</v>
      </c>
      <c r="AB328" s="89">
        <f t="shared" si="190"/>
        <v>0</v>
      </c>
      <c r="AC328" s="90">
        <v>1100</v>
      </c>
      <c r="AD328" s="14">
        <f t="shared" si="149"/>
        <v>0</v>
      </c>
    </row>
    <row r="329" spans="1:30" x14ac:dyDescent="0.25">
      <c r="A329" s="7">
        <v>322</v>
      </c>
      <c r="B329" s="9"/>
      <c r="C329" s="9">
        <v>6112</v>
      </c>
      <c r="D329" s="37">
        <v>5173</v>
      </c>
      <c r="E329" s="37"/>
      <c r="F329" s="13" t="s">
        <v>217</v>
      </c>
      <c r="G329" s="13"/>
      <c r="H329" s="87">
        <v>40000</v>
      </c>
      <c r="K329" s="89">
        <f t="shared" si="187"/>
        <v>40000</v>
      </c>
      <c r="L329" s="90">
        <v>5088</v>
      </c>
      <c r="M329" s="14">
        <f t="shared" si="191"/>
        <v>0.12720000000000001</v>
      </c>
      <c r="R329" s="89">
        <f t="shared" si="188"/>
        <v>40000</v>
      </c>
      <c r="S329" s="90">
        <v>12720</v>
      </c>
      <c r="T329" s="14">
        <f t="shared" si="155"/>
        <v>0.318</v>
      </c>
      <c r="V329" s="89">
        <f t="shared" si="189"/>
        <v>40000</v>
      </c>
      <c r="W329" s="90">
        <v>20352</v>
      </c>
      <c r="X329" s="14">
        <f t="shared" si="150"/>
        <v>0.50880000000000003</v>
      </c>
      <c r="AB329" s="89">
        <f t="shared" si="190"/>
        <v>40000</v>
      </c>
      <c r="AC329" s="90">
        <v>30528</v>
      </c>
      <c r="AD329" s="14">
        <f t="shared" ref="AD329:AD392" si="192">IF($AB329=0,0,AC329/$AB329)</f>
        <v>0.76319999999999999</v>
      </c>
    </row>
    <row r="330" spans="1:30" x14ac:dyDescent="0.25">
      <c r="A330" s="7">
        <v>323</v>
      </c>
      <c r="B330" s="9"/>
      <c r="C330" s="9">
        <v>6112</v>
      </c>
      <c r="D330" s="9">
        <v>5175</v>
      </c>
      <c r="E330" s="9"/>
      <c r="F330" s="13" t="s">
        <v>139</v>
      </c>
      <c r="G330" s="13"/>
      <c r="H330" s="87">
        <v>20000</v>
      </c>
      <c r="K330" s="89">
        <f t="shared" si="187"/>
        <v>20000</v>
      </c>
      <c r="L330" s="90">
        <v>2687</v>
      </c>
      <c r="M330" s="14">
        <f t="shared" si="191"/>
        <v>0.13435</v>
      </c>
      <c r="R330" s="89">
        <f t="shared" si="188"/>
        <v>20000</v>
      </c>
      <c r="S330" s="90">
        <v>7965</v>
      </c>
      <c r="T330" s="14">
        <f t="shared" si="155"/>
        <v>0.39824999999999999</v>
      </c>
      <c r="V330" s="89">
        <f t="shared" si="189"/>
        <v>20000</v>
      </c>
      <c r="W330" s="90">
        <v>13704</v>
      </c>
      <c r="X330" s="14">
        <f t="shared" si="150"/>
        <v>0.68520000000000003</v>
      </c>
      <c r="Y330" s="88">
        <v>40000</v>
      </c>
      <c r="AB330" s="89">
        <f t="shared" si="190"/>
        <v>60000</v>
      </c>
      <c r="AC330" s="90">
        <v>46282</v>
      </c>
      <c r="AD330" s="14">
        <f t="shared" si="192"/>
        <v>0.77136666666666664</v>
      </c>
    </row>
    <row r="331" spans="1:30" x14ac:dyDescent="0.25">
      <c r="A331" s="7">
        <v>324</v>
      </c>
      <c r="B331" s="9"/>
      <c r="C331" s="9">
        <v>6112</v>
      </c>
      <c r="D331" s="9">
        <v>5179</v>
      </c>
      <c r="E331" s="9"/>
      <c r="F331" s="34" t="s">
        <v>186</v>
      </c>
      <c r="G331" s="34"/>
      <c r="H331" s="87">
        <v>5000</v>
      </c>
      <c r="K331" s="89">
        <f t="shared" si="187"/>
        <v>5000</v>
      </c>
      <c r="M331" s="14">
        <f t="shared" si="191"/>
        <v>0</v>
      </c>
      <c r="N331" s="88">
        <v>5000</v>
      </c>
      <c r="R331" s="89">
        <f t="shared" si="188"/>
        <v>10000</v>
      </c>
      <c r="S331" s="90">
        <v>9548</v>
      </c>
      <c r="T331" s="14">
        <f t="shared" si="155"/>
        <v>0.95479999999999998</v>
      </c>
      <c r="V331" s="89">
        <f t="shared" si="189"/>
        <v>10000</v>
      </c>
      <c r="W331" s="90">
        <v>9548</v>
      </c>
      <c r="X331" s="14">
        <f t="shared" si="150"/>
        <v>0.95479999999999998</v>
      </c>
      <c r="AB331" s="89">
        <f t="shared" si="190"/>
        <v>10000</v>
      </c>
      <c r="AC331" s="90">
        <v>9548</v>
      </c>
      <c r="AD331" s="14">
        <f t="shared" si="192"/>
        <v>0.95479999999999998</v>
      </c>
    </row>
    <row r="332" spans="1:30" x14ac:dyDescent="0.25">
      <c r="A332" s="7">
        <v>325</v>
      </c>
      <c r="B332" s="9"/>
      <c r="C332" s="9">
        <v>6112</v>
      </c>
      <c r="D332" s="9">
        <v>5492</v>
      </c>
      <c r="E332" s="9"/>
      <c r="F332" s="13" t="s">
        <v>218</v>
      </c>
      <c r="G332" s="13"/>
      <c r="H332" s="87">
        <v>100000</v>
      </c>
      <c r="K332" s="89">
        <f t="shared" si="187"/>
        <v>100000</v>
      </c>
      <c r="M332" s="14">
        <f t="shared" si="191"/>
        <v>0</v>
      </c>
      <c r="R332" s="89">
        <f t="shared" si="188"/>
        <v>100000</v>
      </c>
      <c r="S332" s="90">
        <v>0</v>
      </c>
      <c r="T332" s="14">
        <f t="shared" si="155"/>
        <v>0</v>
      </c>
      <c r="V332" s="89">
        <f t="shared" si="189"/>
        <v>100000</v>
      </c>
      <c r="W332" s="90">
        <v>0</v>
      </c>
      <c r="X332" s="14">
        <f t="shared" si="150"/>
        <v>0</v>
      </c>
      <c r="Y332" s="88">
        <v>-40000</v>
      </c>
      <c r="AB332" s="89">
        <f t="shared" si="190"/>
        <v>60000</v>
      </c>
      <c r="AC332" s="90">
        <v>13500</v>
      </c>
      <c r="AD332" s="14">
        <f t="shared" si="192"/>
        <v>0.22500000000000001</v>
      </c>
    </row>
    <row r="333" spans="1:30" ht="13.8" x14ac:dyDescent="0.3">
      <c r="A333" s="7">
        <v>326</v>
      </c>
      <c r="B333" s="9"/>
      <c r="C333" s="9"/>
      <c r="D333" s="36" t="s">
        <v>219</v>
      </c>
      <c r="E333" s="36"/>
      <c r="F333" s="35"/>
      <c r="G333" s="35"/>
      <c r="H333" s="71">
        <f>SUM(H320:H332)</f>
        <v>3331000</v>
      </c>
      <c r="I333" s="58">
        <f>SUM(I320:I332)</f>
        <v>0</v>
      </c>
      <c r="J333" s="58">
        <f>SUM(J320:J332)</f>
        <v>0</v>
      </c>
      <c r="K333" s="22">
        <f>SUM(K320:K332)</f>
        <v>3331000</v>
      </c>
      <c r="L333" s="106">
        <f>SUM(L320:L332)</f>
        <v>468418</v>
      </c>
      <c r="M333" s="14">
        <f t="shared" si="191"/>
        <v>0.14062383668567999</v>
      </c>
      <c r="N333" s="58">
        <f t="shared" ref="N333:S333" si="193">SUM(N320:N332)</f>
        <v>5000</v>
      </c>
      <c r="O333" s="58">
        <f t="shared" si="193"/>
        <v>0</v>
      </c>
      <c r="P333" s="58">
        <f t="shared" si="193"/>
        <v>0</v>
      </c>
      <c r="Q333" s="58">
        <f t="shared" si="193"/>
        <v>0</v>
      </c>
      <c r="R333" s="22">
        <f t="shared" si="193"/>
        <v>3336000</v>
      </c>
      <c r="S333" s="106">
        <f t="shared" si="193"/>
        <v>1153610</v>
      </c>
      <c r="T333" s="14">
        <f t="shared" si="155"/>
        <v>0.34580635491606715</v>
      </c>
      <c r="U333" s="58">
        <f t="shared" ref="U333" si="194">SUM(U320:U332)</f>
        <v>0</v>
      </c>
      <c r="V333" s="22">
        <f t="shared" ref="V333" si="195">SUM(V320:V332)</f>
        <v>3336000</v>
      </c>
      <c r="W333" s="106">
        <f t="shared" ref="W333" si="196">SUM(W320:W332)</f>
        <v>1832543</v>
      </c>
      <c r="X333" s="14">
        <f t="shared" si="150"/>
        <v>0.54932344124700239</v>
      </c>
      <c r="Y333" s="58">
        <f t="shared" ref="Y333:AC333" si="197">SUM(Y320:Y332)</f>
        <v>0</v>
      </c>
      <c r="Z333" s="58">
        <f t="shared" si="197"/>
        <v>0</v>
      </c>
      <c r="AA333" s="58">
        <f t="shared" si="197"/>
        <v>0</v>
      </c>
      <c r="AB333" s="22">
        <f t="shared" si="197"/>
        <v>3336000</v>
      </c>
      <c r="AC333" s="106">
        <f t="shared" si="197"/>
        <v>2886949</v>
      </c>
      <c r="AD333" s="14">
        <f t="shared" si="192"/>
        <v>0.86539238609112712</v>
      </c>
    </row>
    <row r="334" spans="1:30" x14ac:dyDescent="0.25">
      <c r="A334" s="7">
        <v>327</v>
      </c>
      <c r="B334" s="9"/>
      <c r="C334" s="9"/>
      <c r="D334" s="36"/>
      <c r="E334" s="36"/>
      <c r="F334" s="35"/>
      <c r="G334" s="35"/>
      <c r="M334" s="14">
        <f t="shared" si="191"/>
        <v>0</v>
      </c>
      <c r="T334" s="14">
        <f t="shared" si="155"/>
        <v>0</v>
      </c>
      <c r="X334" s="14">
        <f t="shared" ref="X334:X397" si="198">IF($V334=0,0,W334/$V334)</f>
        <v>0</v>
      </c>
      <c r="AD334" s="14">
        <f t="shared" si="192"/>
        <v>0</v>
      </c>
    </row>
    <row r="335" spans="1:30" x14ac:dyDescent="0.25">
      <c r="A335" s="7">
        <v>328</v>
      </c>
      <c r="B335" s="9"/>
      <c r="C335" s="9">
        <v>6118</v>
      </c>
      <c r="D335" s="36">
        <v>5021</v>
      </c>
      <c r="E335" s="36"/>
      <c r="F335" s="34" t="s">
        <v>326</v>
      </c>
      <c r="G335" s="35"/>
      <c r="I335" s="88">
        <v>70000</v>
      </c>
      <c r="J335" s="88">
        <f>-1000</f>
        <v>-1000</v>
      </c>
      <c r="K335" s="89">
        <f t="shared" ref="K335:K339" si="199">H335+I335+J335</f>
        <v>69000</v>
      </c>
      <c r="L335" s="90">
        <v>59500</v>
      </c>
      <c r="M335" s="14">
        <f t="shared" si="191"/>
        <v>0.8623188405797102</v>
      </c>
      <c r="R335" s="89">
        <f t="shared" ref="R335:R339" si="200">H335+I335+J335+N335+O335+P335+Q335</f>
        <v>69000</v>
      </c>
      <c r="S335" s="90">
        <v>59500</v>
      </c>
      <c r="T335" s="14">
        <f t="shared" si="155"/>
        <v>0.8623188405797102</v>
      </c>
      <c r="V335" s="89">
        <f t="shared" ref="V335:V339" si="201">H335+I335+J335+N335+O335+P335+Q335+U335</f>
        <v>69000</v>
      </c>
      <c r="W335" s="90">
        <v>59500</v>
      </c>
      <c r="X335" s="14">
        <f t="shared" si="198"/>
        <v>0.8623188405797102</v>
      </c>
      <c r="AB335" s="89">
        <f t="shared" ref="AB335:AB339" si="202">H335+I335+J335+N335+O335+P335+Q335+U335+Y335+Z335+AA335</f>
        <v>69000</v>
      </c>
      <c r="AC335" s="90">
        <v>59500</v>
      </c>
      <c r="AD335" s="14">
        <f t="shared" si="192"/>
        <v>0.8623188405797102</v>
      </c>
    </row>
    <row r="336" spans="1:30" x14ac:dyDescent="0.25">
      <c r="A336" s="7">
        <v>329</v>
      </c>
      <c r="B336" s="9"/>
      <c r="C336" s="9">
        <v>6118</v>
      </c>
      <c r="D336" s="36">
        <v>5139</v>
      </c>
      <c r="E336" s="36"/>
      <c r="F336" s="34" t="s">
        <v>327</v>
      </c>
      <c r="G336" s="35"/>
      <c r="K336" s="89">
        <f t="shared" si="199"/>
        <v>0</v>
      </c>
      <c r="M336" s="14">
        <f t="shared" si="191"/>
        <v>0</v>
      </c>
      <c r="R336" s="89">
        <f t="shared" si="200"/>
        <v>0</v>
      </c>
      <c r="T336" s="14">
        <f t="shared" si="155"/>
        <v>0</v>
      </c>
      <c r="V336" s="89">
        <f t="shared" si="201"/>
        <v>0</v>
      </c>
      <c r="X336" s="14">
        <f t="shared" si="198"/>
        <v>0</v>
      </c>
      <c r="AB336" s="89">
        <f t="shared" si="202"/>
        <v>0</v>
      </c>
      <c r="AD336" s="14">
        <f t="shared" si="192"/>
        <v>0</v>
      </c>
    </row>
    <row r="337" spans="1:30" x14ac:dyDescent="0.25">
      <c r="A337" s="7">
        <v>330</v>
      </c>
      <c r="B337" s="9"/>
      <c r="C337" s="9">
        <v>6118</v>
      </c>
      <c r="D337" s="36">
        <v>5161</v>
      </c>
      <c r="E337" s="36"/>
      <c r="F337" s="34" t="s">
        <v>328</v>
      </c>
      <c r="G337" s="35"/>
      <c r="K337" s="89">
        <f t="shared" si="199"/>
        <v>0</v>
      </c>
      <c r="M337" s="14">
        <f t="shared" si="191"/>
        <v>0</v>
      </c>
      <c r="R337" s="89">
        <f t="shared" si="200"/>
        <v>0</v>
      </c>
      <c r="T337" s="14">
        <f t="shared" si="155"/>
        <v>0</v>
      </c>
      <c r="V337" s="89">
        <f t="shared" si="201"/>
        <v>0</v>
      </c>
      <c r="X337" s="14">
        <f t="shared" si="198"/>
        <v>0</v>
      </c>
      <c r="AB337" s="89">
        <f t="shared" si="202"/>
        <v>0</v>
      </c>
      <c r="AD337" s="14">
        <f t="shared" si="192"/>
        <v>0</v>
      </c>
    </row>
    <row r="338" spans="1:30" x14ac:dyDescent="0.25">
      <c r="A338" s="7">
        <v>331</v>
      </c>
      <c r="B338" s="9"/>
      <c r="C338" s="9">
        <v>6118</v>
      </c>
      <c r="D338" s="36">
        <v>5169</v>
      </c>
      <c r="E338" s="36"/>
      <c r="F338" s="34" t="s">
        <v>329</v>
      </c>
      <c r="G338" s="35"/>
      <c r="I338" s="88">
        <v>21200</v>
      </c>
      <c r="J338" s="88">
        <f>1000</f>
        <v>1000</v>
      </c>
      <c r="K338" s="89">
        <f t="shared" si="199"/>
        <v>22200</v>
      </c>
      <c r="L338" s="90">
        <v>21581.4</v>
      </c>
      <c r="M338" s="14">
        <f t="shared" si="191"/>
        <v>0.97213513513513516</v>
      </c>
      <c r="R338" s="89">
        <f t="shared" si="200"/>
        <v>22200</v>
      </c>
      <c r="S338" s="90">
        <v>21581.4</v>
      </c>
      <c r="T338" s="14">
        <f t="shared" si="155"/>
        <v>0.97213513513513516</v>
      </c>
      <c r="V338" s="89">
        <f t="shared" si="201"/>
        <v>22200</v>
      </c>
      <c r="W338" s="90">
        <v>21581.4</v>
      </c>
      <c r="X338" s="14">
        <f t="shared" si="198"/>
        <v>0.97213513513513516</v>
      </c>
      <c r="AB338" s="89">
        <f t="shared" si="202"/>
        <v>22200</v>
      </c>
      <c r="AC338" s="90">
        <v>21581.4</v>
      </c>
      <c r="AD338" s="14">
        <f t="shared" si="192"/>
        <v>0.97213513513513516</v>
      </c>
    </row>
    <row r="339" spans="1:30" x14ac:dyDescent="0.25">
      <c r="A339" s="7">
        <v>332</v>
      </c>
      <c r="B339" s="9"/>
      <c r="C339" s="9">
        <v>6118</v>
      </c>
      <c r="D339" s="36">
        <v>5175</v>
      </c>
      <c r="E339" s="36"/>
      <c r="F339" s="34" t="s">
        <v>330</v>
      </c>
      <c r="G339" s="35"/>
      <c r="I339" s="88">
        <v>1000</v>
      </c>
      <c r="K339" s="89">
        <f t="shared" si="199"/>
        <v>1000</v>
      </c>
      <c r="L339" s="90">
        <v>655</v>
      </c>
      <c r="M339" s="14">
        <f t="shared" si="191"/>
        <v>0.65500000000000003</v>
      </c>
      <c r="R339" s="89">
        <f t="shared" si="200"/>
        <v>1000</v>
      </c>
      <c r="S339" s="90">
        <v>655</v>
      </c>
      <c r="T339" s="14">
        <f t="shared" ref="T339:T402" si="203">IF($R339=0,0,S339/$R339)</f>
        <v>0.65500000000000003</v>
      </c>
      <c r="V339" s="89">
        <f t="shared" si="201"/>
        <v>1000</v>
      </c>
      <c r="W339" s="90">
        <v>655</v>
      </c>
      <c r="X339" s="14">
        <f t="shared" si="198"/>
        <v>0.65500000000000003</v>
      </c>
      <c r="AB339" s="89">
        <f t="shared" si="202"/>
        <v>1000</v>
      </c>
      <c r="AC339" s="90">
        <v>655</v>
      </c>
      <c r="AD339" s="14">
        <f t="shared" si="192"/>
        <v>0.65500000000000003</v>
      </c>
    </row>
    <row r="340" spans="1:30" x14ac:dyDescent="0.25">
      <c r="A340" s="7">
        <v>333</v>
      </c>
      <c r="B340" s="9"/>
      <c r="C340" s="9"/>
      <c r="D340" s="36"/>
      <c r="E340" s="36"/>
      <c r="F340" s="35"/>
      <c r="G340" s="35"/>
      <c r="M340" s="14">
        <f t="shared" si="191"/>
        <v>0</v>
      </c>
      <c r="T340" s="14">
        <f t="shared" si="203"/>
        <v>0</v>
      </c>
      <c r="X340" s="14">
        <f t="shared" si="198"/>
        <v>0</v>
      </c>
      <c r="AD340" s="14">
        <f t="shared" si="192"/>
        <v>0</v>
      </c>
    </row>
    <row r="341" spans="1:30" ht="13.8" x14ac:dyDescent="0.3">
      <c r="A341" s="7">
        <v>334</v>
      </c>
      <c r="B341" s="9"/>
      <c r="C341" s="9"/>
      <c r="D341" s="36" t="s">
        <v>220</v>
      </c>
      <c r="E341" s="36"/>
      <c r="F341" s="35"/>
      <c r="G341" s="35"/>
      <c r="H341" s="71">
        <f>SUM(H335:H339)</f>
        <v>0</v>
      </c>
      <c r="I341" s="58">
        <f>SUM(I335:I339)</f>
        <v>92200</v>
      </c>
      <c r="J341" s="58">
        <f>SUM(J335:J339)</f>
        <v>0</v>
      </c>
      <c r="K341" s="22">
        <f>SUM(K335:K339)</f>
        <v>92200</v>
      </c>
      <c r="L341" s="106">
        <f>SUM(L335:L339)</f>
        <v>81736.399999999994</v>
      </c>
      <c r="M341" s="14">
        <f t="shared" si="191"/>
        <v>0.88651193058568323</v>
      </c>
      <c r="N341" s="58">
        <f t="shared" ref="N341:S341" si="204">SUM(N335:N339)</f>
        <v>0</v>
      </c>
      <c r="O341" s="58">
        <f t="shared" si="204"/>
        <v>0</v>
      </c>
      <c r="P341" s="58">
        <f t="shared" si="204"/>
        <v>0</v>
      </c>
      <c r="Q341" s="58">
        <f t="shared" si="204"/>
        <v>0</v>
      </c>
      <c r="R341" s="22">
        <f t="shared" si="204"/>
        <v>92200</v>
      </c>
      <c r="S341" s="106">
        <f t="shared" si="204"/>
        <v>81736.399999999994</v>
      </c>
      <c r="T341" s="14">
        <f t="shared" si="203"/>
        <v>0.88651193058568323</v>
      </c>
      <c r="U341" s="58">
        <f t="shared" ref="U341:W341" si="205">SUM(U335:U339)</f>
        <v>0</v>
      </c>
      <c r="V341" s="22">
        <f t="shared" si="205"/>
        <v>92200</v>
      </c>
      <c r="W341" s="106">
        <f t="shared" si="205"/>
        <v>81736.399999999994</v>
      </c>
      <c r="X341" s="14">
        <f t="shared" si="198"/>
        <v>0.88651193058568323</v>
      </c>
      <c r="Y341" s="58">
        <f t="shared" ref="Y341:AC341" si="206">SUM(Y335:Y339)</f>
        <v>0</v>
      </c>
      <c r="Z341" s="58">
        <f t="shared" si="206"/>
        <v>0</v>
      </c>
      <c r="AA341" s="58">
        <f t="shared" si="206"/>
        <v>0</v>
      </c>
      <c r="AB341" s="22">
        <f t="shared" si="206"/>
        <v>92200</v>
      </c>
      <c r="AC341" s="106">
        <f t="shared" si="206"/>
        <v>81736.399999999994</v>
      </c>
      <c r="AD341" s="14">
        <f t="shared" si="192"/>
        <v>0.88651193058568323</v>
      </c>
    </row>
    <row r="342" spans="1:30" x14ac:dyDescent="0.25">
      <c r="A342" s="7">
        <v>335</v>
      </c>
      <c r="B342" s="9"/>
      <c r="C342" s="9"/>
      <c r="D342" s="36"/>
      <c r="E342" s="36"/>
      <c r="F342" s="35"/>
      <c r="G342" s="35"/>
      <c r="M342" s="14">
        <f t="shared" si="191"/>
        <v>0</v>
      </c>
      <c r="T342" s="14">
        <f t="shared" si="203"/>
        <v>0</v>
      </c>
      <c r="X342" s="14">
        <f t="shared" si="198"/>
        <v>0</v>
      </c>
      <c r="AD342" s="14">
        <f t="shared" si="192"/>
        <v>0</v>
      </c>
    </row>
    <row r="343" spans="1:30" x14ac:dyDescent="0.25">
      <c r="A343" s="7">
        <v>336</v>
      </c>
      <c r="B343" s="9"/>
      <c r="C343" s="9"/>
      <c r="D343" s="9" t="s">
        <v>221</v>
      </c>
      <c r="E343" s="9"/>
      <c r="F343" s="13"/>
      <c r="G343" s="13"/>
      <c r="M343" s="14">
        <f t="shared" si="191"/>
        <v>0</v>
      </c>
      <c r="T343" s="14">
        <f t="shared" si="203"/>
        <v>0</v>
      </c>
      <c r="X343" s="14">
        <f t="shared" si="198"/>
        <v>0</v>
      </c>
      <c r="AD343" s="14">
        <f t="shared" si="192"/>
        <v>0</v>
      </c>
    </row>
    <row r="344" spans="1:30" x14ac:dyDescent="0.25">
      <c r="A344" s="7">
        <v>337</v>
      </c>
      <c r="B344" s="9"/>
      <c r="C344" s="9"/>
      <c r="D344" s="9"/>
      <c r="E344" s="9"/>
      <c r="F344" s="13"/>
      <c r="G344" s="13"/>
      <c r="M344" s="14">
        <f t="shared" si="191"/>
        <v>0</v>
      </c>
      <c r="T344" s="14">
        <f t="shared" si="203"/>
        <v>0</v>
      </c>
      <c r="X344" s="14">
        <f t="shared" si="198"/>
        <v>0</v>
      </c>
      <c r="AD344" s="14">
        <f t="shared" si="192"/>
        <v>0</v>
      </c>
    </row>
    <row r="345" spans="1:30" x14ac:dyDescent="0.25">
      <c r="A345" s="7">
        <v>338</v>
      </c>
      <c r="B345" s="9"/>
      <c r="C345" s="9"/>
      <c r="D345" s="9"/>
      <c r="E345" s="9"/>
      <c r="F345" s="13"/>
      <c r="G345" s="13"/>
      <c r="M345" s="14">
        <f t="shared" si="191"/>
        <v>0</v>
      </c>
      <c r="T345" s="14">
        <f t="shared" si="203"/>
        <v>0</v>
      </c>
      <c r="X345" s="14">
        <f t="shared" si="198"/>
        <v>0</v>
      </c>
      <c r="AD345" s="14">
        <f t="shared" si="192"/>
        <v>0</v>
      </c>
    </row>
    <row r="346" spans="1:30" x14ac:dyDescent="0.25">
      <c r="A346" s="7">
        <v>339</v>
      </c>
      <c r="B346" s="9"/>
      <c r="C346" s="9">
        <v>6171</v>
      </c>
      <c r="D346" s="9">
        <v>5011</v>
      </c>
      <c r="E346" s="9"/>
      <c r="F346" s="13" t="s">
        <v>150</v>
      </c>
      <c r="G346" s="13"/>
      <c r="H346" s="87">
        <v>4400000</v>
      </c>
      <c r="K346" s="89">
        <f t="shared" ref="K346:K380" si="207">H346+I346+J346</f>
        <v>4400000</v>
      </c>
      <c r="L346" s="90">
        <v>652768</v>
      </c>
      <c r="M346" s="14">
        <f t="shared" si="191"/>
        <v>0.14835636363636365</v>
      </c>
      <c r="R346" s="89">
        <f t="shared" ref="R346:R381" si="208">H346+I346+J346+N346+O346+P346+Q346</f>
        <v>4400000</v>
      </c>
      <c r="S346" s="90">
        <v>1460448</v>
      </c>
      <c r="T346" s="14">
        <f t="shared" si="203"/>
        <v>0.33191999999999999</v>
      </c>
      <c r="V346" s="89">
        <f t="shared" ref="V346:V381" si="209">H346+I346+J346+N346+O346+P346+Q346+U346</f>
        <v>4400000</v>
      </c>
      <c r="W346" s="90">
        <v>2550417</v>
      </c>
      <c r="X346" s="14">
        <f t="shared" si="198"/>
        <v>0.57964022727272724</v>
      </c>
      <c r="AB346" s="89">
        <f t="shared" ref="AB346:AB381" si="210">H346+I346+J346+N346+O346+P346+Q346+U346+Y346+Z346+AA346</f>
        <v>4400000</v>
      </c>
      <c r="AC346" s="90">
        <f>3792439+98488</f>
        <v>3890927</v>
      </c>
      <c r="AD346" s="14">
        <f t="shared" si="192"/>
        <v>0.88430159090909088</v>
      </c>
    </row>
    <row r="347" spans="1:30" x14ac:dyDescent="0.25">
      <c r="A347" s="7">
        <v>340</v>
      </c>
      <c r="B347" s="9"/>
      <c r="C347" s="9">
        <v>6171</v>
      </c>
      <c r="D347" s="9">
        <v>5011</v>
      </c>
      <c r="E347" s="9"/>
      <c r="F347" s="13" t="s">
        <v>222</v>
      </c>
      <c r="G347" s="13"/>
      <c r="H347" s="87">
        <v>0</v>
      </c>
      <c r="K347" s="89">
        <f t="shared" si="207"/>
        <v>0</v>
      </c>
      <c r="M347" s="14">
        <f t="shared" si="191"/>
        <v>0</v>
      </c>
      <c r="R347" s="89">
        <f t="shared" si="208"/>
        <v>0</v>
      </c>
      <c r="T347" s="14">
        <f t="shared" si="203"/>
        <v>0</v>
      </c>
      <c r="V347" s="89">
        <f t="shared" si="209"/>
        <v>0</v>
      </c>
      <c r="X347" s="14">
        <f t="shared" si="198"/>
        <v>0</v>
      </c>
      <c r="AB347" s="89">
        <f t="shared" si="210"/>
        <v>0</v>
      </c>
      <c r="AD347" s="14">
        <f t="shared" si="192"/>
        <v>0</v>
      </c>
    </row>
    <row r="348" spans="1:30" x14ac:dyDescent="0.25">
      <c r="A348" s="7">
        <v>341</v>
      </c>
      <c r="B348" s="9"/>
      <c r="C348" s="9">
        <v>6171</v>
      </c>
      <c r="D348" s="9">
        <v>5021</v>
      </c>
      <c r="E348" s="9"/>
      <c r="F348" s="13" t="s">
        <v>151</v>
      </c>
      <c r="G348" s="13"/>
      <c r="H348" s="87">
        <v>350000</v>
      </c>
      <c r="K348" s="89">
        <f t="shared" si="207"/>
        <v>350000</v>
      </c>
      <c r="L348" s="90">
        <v>36700</v>
      </c>
      <c r="M348" s="14">
        <f t="shared" si="191"/>
        <v>0.10485714285714286</v>
      </c>
      <c r="R348" s="89">
        <f t="shared" si="208"/>
        <v>350000</v>
      </c>
      <c r="S348" s="90">
        <v>54350</v>
      </c>
      <c r="T348" s="14">
        <f t="shared" si="203"/>
        <v>0.15528571428571428</v>
      </c>
      <c r="V348" s="89">
        <f t="shared" si="209"/>
        <v>350000</v>
      </c>
      <c r="W348" s="90">
        <v>71165</v>
      </c>
      <c r="X348" s="14">
        <f t="shared" si="198"/>
        <v>0.20332857142857144</v>
      </c>
      <c r="AB348" s="89">
        <f t="shared" si="210"/>
        <v>350000</v>
      </c>
      <c r="AC348" s="90">
        <f>91345</f>
        <v>91345</v>
      </c>
      <c r="AD348" s="14">
        <f t="shared" si="192"/>
        <v>0.26098571428571427</v>
      </c>
    </row>
    <row r="349" spans="1:30" x14ac:dyDescent="0.25">
      <c r="A349" s="7">
        <v>342</v>
      </c>
      <c r="B349" s="9"/>
      <c r="C349" s="9">
        <v>6171</v>
      </c>
      <c r="D349" s="9">
        <v>5031</v>
      </c>
      <c r="E349" s="9"/>
      <c r="F349" s="13" t="s">
        <v>124</v>
      </c>
      <c r="G349" s="13"/>
      <c r="H349" s="87">
        <v>1200000</v>
      </c>
      <c r="K349" s="89">
        <f t="shared" si="207"/>
        <v>1200000</v>
      </c>
      <c r="L349" s="90">
        <v>161139</v>
      </c>
      <c r="M349" s="14">
        <f t="shared" si="191"/>
        <v>0.1342825</v>
      </c>
      <c r="R349" s="89">
        <f t="shared" si="208"/>
        <v>1200000</v>
      </c>
      <c r="S349" s="90">
        <v>355347</v>
      </c>
      <c r="T349" s="14">
        <f t="shared" si="203"/>
        <v>0.29612250000000001</v>
      </c>
      <c r="V349" s="89">
        <f t="shared" si="209"/>
        <v>1200000</v>
      </c>
      <c r="W349" s="90">
        <v>629923</v>
      </c>
      <c r="X349" s="14">
        <f t="shared" si="198"/>
        <v>0.52493583333333338</v>
      </c>
      <c r="AB349" s="89">
        <f t="shared" si="210"/>
        <v>1200000</v>
      </c>
      <c r="AC349" s="90">
        <f>942170+24424</f>
        <v>966594</v>
      </c>
      <c r="AD349" s="14">
        <f t="shared" si="192"/>
        <v>0.80549499999999996</v>
      </c>
    </row>
    <row r="350" spans="1:30" x14ac:dyDescent="0.25">
      <c r="A350" s="7">
        <v>343</v>
      </c>
      <c r="B350" s="9"/>
      <c r="C350" s="9">
        <v>6171</v>
      </c>
      <c r="D350" s="9">
        <v>5032</v>
      </c>
      <c r="E350" s="9"/>
      <c r="F350" s="13" t="s">
        <v>125</v>
      </c>
      <c r="G350" s="13"/>
      <c r="H350" s="87">
        <v>440000</v>
      </c>
      <c r="K350" s="89">
        <f t="shared" si="207"/>
        <v>440000</v>
      </c>
      <c r="L350" s="90">
        <v>58478</v>
      </c>
      <c r="M350" s="14">
        <f t="shared" si="191"/>
        <v>0.13290454545454544</v>
      </c>
      <c r="R350" s="89">
        <f t="shared" si="208"/>
        <v>440000</v>
      </c>
      <c r="S350" s="90">
        <v>128938</v>
      </c>
      <c r="T350" s="14">
        <f t="shared" si="203"/>
        <v>0.29304090909090907</v>
      </c>
      <c r="V350" s="89">
        <f t="shared" si="209"/>
        <v>440000</v>
      </c>
      <c r="W350" s="90">
        <v>231824</v>
      </c>
      <c r="X350" s="14">
        <f t="shared" si="198"/>
        <v>0.52687272727272727</v>
      </c>
      <c r="AB350" s="89">
        <f t="shared" si="210"/>
        <v>440000</v>
      </c>
      <c r="AC350" s="90">
        <f>345145+8863</f>
        <v>354008</v>
      </c>
      <c r="AD350" s="14">
        <f t="shared" si="192"/>
        <v>0.80456363636363637</v>
      </c>
    </row>
    <row r="351" spans="1:30" x14ac:dyDescent="0.25">
      <c r="A351" s="7">
        <v>344</v>
      </c>
      <c r="B351" s="9"/>
      <c r="C351" s="9">
        <v>6171</v>
      </c>
      <c r="D351" s="9">
        <v>5038</v>
      </c>
      <c r="E351" s="9"/>
      <c r="F351" s="13" t="s">
        <v>223</v>
      </c>
      <c r="G351" s="13"/>
      <c r="H351" s="87">
        <v>30000</v>
      </c>
      <c r="K351" s="89">
        <f t="shared" si="207"/>
        <v>30000</v>
      </c>
      <c r="L351" s="90">
        <v>7394</v>
      </c>
      <c r="M351" s="14">
        <f t="shared" si="191"/>
        <v>0.24646666666666667</v>
      </c>
      <c r="R351" s="89">
        <f t="shared" si="208"/>
        <v>30000</v>
      </c>
      <c r="S351" s="90">
        <v>13206</v>
      </c>
      <c r="T351" s="14">
        <f t="shared" si="203"/>
        <v>0.44019999999999998</v>
      </c>
      <c r="V351" s="89">
        <f t="shared" si="209"/>
        <v>30000</v>
      </c>
      <c r="W351" s="90">
        <v>20201</v>
      </c>
      <c r="X351" s="14">
        <f t="shared" si="198"/>
        <v>0.67336666666666667</v>
      </c>
      <c r="AB351" s="89">
        <f t="shared" si="210"/>
        <v>30000</v>
      </c>
      <c r="AC351" s="90">
        <v>25463</v>
      </c>
      <c r="AD351" s="14">
        <f t="shared" si="192"/>
        <v>0.84876666666666667</v>
      </c>
    </row>
    <row r="352" spans="1:30" x14ac:dyDescent="0.25">
      <c r="A352" s="7">
        <v>345</v>
      </c>
      <c r="B352" s="9"/>
      <c r="C352" s="9">
        <v>6171</v>
      </c>
      <c r="D352" s="9">
        <v>5051</v>
      </c>
      <c r="E352" s="9"/>
      <c r="F352" s="13" t="s">
        <v>224</v>
      </c>
      <c r="G352" s="13"/>
      <c r="H352" s="87">
        <v>0</v>
      </c>
      <c r="K352" s="89">
        <f t="shared" si="207"/>
        <v>0</v>
      </c>
      <c r="M352" s="14">
        <f t="shared" si="191"/>
        <v>0</v>
      </c>
      <c r="R352" s="89">
        <f t="shared" si="208"/>
        <v>0</v>
      </c>
      <c r="T352" s="14">
        <f t="shared" si="203"/>
        <v>0</v>
      </c>
      <c r="V352" s="89">
        <f t="shared" si="209"/>
        <v>0</v>
      </c>
      <c r="X352" s="14">
        <f t="shared" si="198"/>
        <v>0</v>
      </c>
      <c r="AB352" s="89">
        <f t="shared" si="210"/>
        <v>0</v>
      </c>
      <c r="AD352" s="14">
        <f t="shared" si="192"/>
        <v>0</v>
      </c>
    </row>
    <row r="353" spans="1:30" x14ac:dyDescent="0.25">
      <c r="A353" s="7">
        <v>346</v>
      </c>
      <c r="B353" s="9"/>
      <c r="C353" s="9">
        <v>6171</v>
      </c>
      <c r="D353" s="9">
        <v>5133</v>
      </c>
      <c r="E353" s="9"/>
      <c r="F353" s="13" t="s">
        <v>225</v>
      </c>
      <c r="G353" s="13"/>
      <c r="H353" s="87">
        <v>2000</v>
      </c>
      <c r="K353" s="89">
        <f t="shared" si="207"/>
        <v>2000</v>
      </c>
      <c r="M353" s="14">
        <f t="shared" si="191"/>
        <v>0</v>
      </c>
      <c r="R353" s="89">
        <f t="shared" si="208"/>
        <v>2000</v>
      </c>
      <c r="T353" s="14">
        <f t="shared" si="203"/>
        <v>0</v>
      </c>
      <c r="V353" s="89">
        <f t="shared" si="209"/>
        <v>2000</v>
      </c>
      <c r="X353" s="14">
        <f t="shared" si="198"/>
        <v>0</v>
      </c>
      <c r="AB353" s="89">
        <f t="shared" si="210"/>
        <v>2000</v>
      </c>
      <c r="AD353" s="14">
        <f t="shared" si="192"/>
        <v>0</v>
      </c>
    </row>
    <row r="354" spans="1:30" x14ac:dyDescent="0.25">
      <c r="A354" s="7">
        <v>347</v>
      </c>
      <c r="B354" s="9"/>
      <c r="C354" s="9">
        <v>6171</v>
      </c>
      <c r="D354" s="9">
        <v>5136</v>
      </c>
      <c r="E354" s="9"/>
      <c r="F354" s="13" t="s">
        <v>226</v>
      </c>
      <c r="G354" s="13"/>
      <c r="H354" s="87">
        <v>15000</v>
      </c>
      <c r="K354" s="89">
        <f t="shared" si="207"/>
        <v>15000</v>
      </c>
      <c r="L354" s="90">
        <v>1190</v>
      </c>
      <c r="M354" s="14">
        <f t="shared" si="191"/>
        <v>7.9333333333333339E-2</v>
      </c>
      <c r="R354" s="89">
        <f t="shared" si="208"/>
        <v>15000</v>
      </c>
      <c r="S354" s="90">
        <v>1190</v>
      </c>
      <c r="T354" s="14">
        <f t="shared" si="203"/>
        <v>7.9333333333333339E-2</v>
      </c>
      <c r="V354" s="89">
        <f t="shared" si="209"/>
        <v>15000</v>
      </c>
      <c r="W354" s="90">
        <v>1569</v>
      </c>
      <c r="X354" s="14">
        <f t="shared" si="198"/>
        <v>0.1046</v>
      </c>
      <c r="AB354" s="89">
        <f t="shared" si="210"/>
        <v>15000</v>
      </c>
      <c r="AC354" s="90">
        <v>5905</v>
      </c>
      <c r="AD354" s="14">
        <f t="shared" si="192"/>
        <v>0.39366666666666666</v>
      </c>
    </row>
    <row r="355" spans="1:30" x14ac:dyDescent="0.25">
      <c r="A355" s="7">
        <v>348</v>
      </c>
      <c r="B355" s="9"/>
      <c r="C355" s="9">
        <v>6171</v>
      </c>
      <c r="D355" s="9">
        <v>5137</v>
      </c>
      <c r="E355" s="9"/>
      <c r="F355" s="13" t="s">
        <v>227</v>
      </c>
      <c r="G355" s="13"/>
      <c r="H355" s="87">
        <v>150000</v>
      </c>
      <c r="K355" s="89">
        <f t="shared" si="207"/>
        <v>150000</v>
      </c>
      <c r="L355" s="90">
        <v>615</v>
      </c>
      <c r="M355" s="14">
        <f t="shared" si="191"/>
        <v>4.1000000000000003E-3</v>
      </c>
      <c r="R355" s="89">
        <f t="shared" si="208"/>
        <v>150000</v>
      </c>
      <c r="S355" s="90">
        <v>31654.05</v>
      </c>
      <c r="T355" s="14">
        <f t="shared" si="203"/>
        <v>0.21102699999999999</v>
      </c>
      <c r="V355" s="89">
        <f t="shared" si="209"/>
        <v>150000</v>
      </c>
      <c r="W355" s="90">
        <v>66043.759999999995</v>
      </c>
      <c r="X355" s="14">
        <f t="shared" si="198"/>
        <v>0.44029173333333332</v>
      </c>
      <c r="AB355" s="89">
        <f t="shared" si="210"/>
        <v>150000</v>
      </c>
      <c r="AC355" s="90">
        <v>116229.75999999999</v>
      </c>
      <c r="AD355" s="14">
        <f t="shared" si="192"/>
        <v>0.77486506666666666</v>
      </c>
    </row>
    <row r="356" spans="1:30" x14ac:dyDescent="0.25">
      <c r="A356" s="7">
        <v>349</v>
      </c>
      <c r="B356" s="9"/>
      <c r="C356" s="9">
        <v>6171</v>
      </c>
      <c r="D356" s="9">
        <v>5139</v>
      </c>
      <c r="E356" s="9"/>
      <c r="F356" s="13" t="s">
        <v>127</v>
      </c>
      <c r="G356" s="13"/>
      <c r="H356" s="87">
        <v>300000</v>
      </c>
      <c r="K356" s="89">
        <f t="shared" si="207"/>
        <v>300000</v>
      </c>
      <c r="L356" s="90">
        <v>60253.58</v>
      </c>
      <c r="M356" s="14">
        <f t="shared" si="191"/>
        <v>0.20084526666666666</v>
      </c>
      <c r="O356" s="88">
        <v>20000</v>
      </c>
      <c r="R356" s="89">
        <f t="shared" si="208"/>
        <v>320000</v>
      </c>
      <c r="S356" s="90">
        <v>101767.49</v>
      </c>
      <c r="T356" s="14">
        <f t="shared" si="203"/>
        <v>0.31802340625000003</v>
      </c>
      <c r="V356" s="89">
        <f t="shared" si="209"/>
        <v>320000</v>
      </c>
      <c r="W356" s="90">
        <v>135269.92000000001</v>
      </c>
      <c r="X356" s="14">
        <f t="shared" si="198"/>
        <v>0.42271850000000005</v>
      </c>
      <c r="AB356" s="89">
        <f t="shared" si="210"/>
        <v>320000</v>
      </c>
      <c r="AC356" s="90">
        <v>201816.32000000001</v>
      </c>
      <c r="AD356" s="14">
        <f t="shared" si="192"/>
        <v>0.63067600000000001</v>
      </c>
    </row>
    <row r="357" spans="1:30" x14ac:dyDescent="0.25">
      <c r="A357" s="7">
        <v>350</v>
      </c>
      <c r="B357" s="9"/>
      <c r="C357" s="9">
        <v>6171</v>
      </c>
      <c r="D357" s="9">
        <v>5151</v>
      </c>
      <c r="E357" s="9"/>
      <c r="F357" s="13" t="s">
        <v>197</v>
      </c>
      <c r="G357" s="13"/>
      <c r="H357" s="87">
        <v>10000</v>
      </c>
      <c r="K357" s="89">
        <f t="shared" si="207"/>
        <v>10000</v>
      </c>
      <c r="M357" s="14">
        <f t="shared" si="191"/>
        <v>0</v>
      </c>
      <c r="R357" s="89">
        <f t="shared" si="208"/>
        <v>10000</v>
      </c>
      <c r="T357" s="14">
        <f t="shared" si="203"/>
        <v>0</v>
      </c>
      <c r="V357" s="89">
        <f t="shared" si="209"/>
        <v>10000</v>
      </c>
      <c r="X357" s="14">
        <f t="shared" si="198"/>
        <v>0</v>
      </c>
      <c r="AB357" s="89">
        <f t="shared" si="210"/>
        <v>10000</v>
      </c>
      <c r="AC357" s="90">
        <v>9689</v>
      </c>
      <c r="AD357" s="14">
        <f t="shared" si="192"/>
        <v>0.96889999999999998</v>
      </c>
    </row>
    <row r="358" spans="1:30" x14ac:dyDescent="0.25">
      <c r="A358" s="7">
        <v>351</v>
      </c>
      <c r="B358" s="9"/>
      <c r="C358" s="9">
        <v>6171</v>
      </c>
      <c r="D358" s="9">
        <v>5153</v>
      </c>
      <c r="E358" s="9"/>
      <c r="F358" s="13" t="s">
        <v>198</v>
      </c>
      <c r="G358" s="13"/>
      <c r="K358" s="89">
        <f t="shared" si="207"/>
        <v>0</v>
      </c>
      <c r="M358" s="14">
        <f t="shared" si="191"/>
        <v>0</v>
      </c>
      <c r="R358" s="89">
        <f t="shared" si="208"/>
        <v>0</v>
      </c>
      <c r="T358" s="14">
        <f t="shared" si="203"/>
        <v>0</v>
      </c>
      <c r="V358" s="89">
        <f t="shared" si="209"/>
        <v>0</v>
      </c>
      <c r="X358" s="14">
        <f t="shared" si="198"/>
        <v>0</v>
      </c>
      <c r="AB358" s="89">
        <f t="shared" si="210"/>
        <v>0</v>
      </c>
      <c r="AD358" s="14">
        <f t="shared" si="192"/>
        <v>0</v>
      </c>
    </row>
    <row r="359" spans="1:30" x14ac:dyDescent="0.25">
      <c r="A359" s="7">
        <v>352</v>
      </c>
      <c r="B359" s="9"/>
      <c r="C359" s="9">
        <v>6171</v>
      </c>
      <c r="D359" s="9">
        <v>5154</v>
      </c>
      <c r="E359" s="9"/>
      <c r="F359" s="13" t="s">
        <v>100</v>
      </c>
      <c r="G359" s="13" t="s">
        <v>309</v>
      </c>
      <c r="H359" s="87">
        <v>400000</v>
      </c>
      <c r="K359" s="89">
        <f t="shared" si="207"/>
        <v>400000</v>
      </c>
      <c r="L359" s="90">
        <v>29700</v>
      </c>
      <c r="M359" s="14">
        <f t="shared" si="191"/>
        <v>7.4249999999999997E-2</v>
      </c>
      <c r="R359" s="89">
        <f t="shared" si="208"/>
        <v>400000</v>
      </c>
      <c r="S359" s="90">
        <v>162126</v>
      </c>
      <c r="T359" s="14">
        <f t="shared" si="203"/>
        <v>0.40531499999999998</v>
      </c>
      <c r="V359" s="89">
        <f t="shared" si="209"/>
        <v>400000</v>
      </c>
      <c r="W359" s="90">
        <v>270872</v>
      </c>
      <c r="X359" s="14">
        <f t="shared" si="198"/>
        <v>0.67718</v>
      </c>
      <c r="AB359" s="89">
        <f t="shared" si="210"/>
        <v>400000</v>
      </c>
      <c r="AC359" s="90">
        <v>399772</v>
      </c>
      <c r="AD359" s="14">
        <f t="shared" si="192"/>
        <v>0.99943000000000004</v>
      </c>
    </row>
    <row r="360" spans="1:30" x14ac:dyDescent="0.25">
      <c r="A360" s="7">
        <v>353</v>
      </c>
      <c r="B360" s="9"/>
      <c r="C360" s="9">
        <v>6171</v>
      </c>
      <c r="D360" s="9">
        <v>5156</v>
      </c>
      <c r="E360" s="9"/>
      <c r="F360" s="13" t="s">
        <v>200</v>
      </c>
      <c r="G360" s="13"/>
      <c r="H360" s="87">
        <v>20000</v>
      </c>
      <c r="K360" s="89">
        <f t="shared" si="207"/>
        <v>20000</v>
      </c>
      <c r="L360" s="90">
        <v>2651</v>
      </c>
      <c r="M360" s="14">
        <f t="shared" si="191"/>
        <v>0.13255</v>
      </c>
      <c r="R360" s="89">
        <f t="shared" si="208"/>
        <v>20000</v>
      </c>
      <c r="S360" s="90">
        <v>6092</v>
      </c>
      <c r="T360" s="14">
        <f t="shared" si="203"/>
        <v>0.30459999999999998</v>
      </c>
      <c r="V360" s="89">
        <f t="shared" si="209"/>
        <v>20000</v>
      </c>
      <c r="W360" s="90">
        <v>6092</v>
      </c>
      <c r="X360" s="14">
        <f t="shared" si="198"/>
        <v>0.30459999999999998</v>
      </c>
      <c r="AB360" s="89">
        <f t="shared" si="210"/>
        <v>20000</v>
      </c>
      <c r="AC360" s="90">
        <v>7017</v>
      </c>
      <c r="AD360" s="14">
        <f t="shared" si="192"/>
        <v>0.35085</v>
      </c>
    </row>
    <row r="361" spans="1:30" x14ac:dyDescent="0.25">
      <c r="A361" s="7">
        <v>354</v>
      </c>
      <c r="B361" s="9"/>
      <c r="C361" s="9">
        <v>6171</v>
      </c>
      <c r="D361" s="9">
        <v>5161</v>
      </c>
      <c r="E361" s="9"/>
      <c r="F361" s="13" t="s">
        <v>228</v>
      </c>
      <c r="G361" s="13"/>
      <c r="H361" s="87">
        <v>30000</v>
      </c>
      <c r="K361" s="89">
        <f t="shared" si="207"/>
        <v>30000</v>
      </c>
      <c r="L361" s="90">
        <v>8299</v>
      </c>
      <c r="M361" s="14">
        <f t="shared" si="191"/>
        <v>0.27663333333333334</v>
      </c>
      <c r="R361" s="89">
        <f t="shared" si="208"/>
        <v>30000</v>
      </c>
      <c r="S361" s="90">
        <v>15548</v>
      </c>
      <c r="T361" s="14">
        <f t="shared" si="203"/>
        <v>0.51826666666666665</v>
      </c>
      <c r="V361" s="89">
        <f t="shared" si="209"/>
        <v>30000</v>
      </c>
      <c r="W361" s="90">
        <v>19482</v>
      </c>
      <c r="X361" s="14">
        <f t="shared" si="198"/>
        <v>0.64939999999999998</v>
      </c>
      <c r="AB361" s="89">
        <f t="shared" si="210"/>
        <v>30000</v>
      </c>
      <c r="AC361" s="90">
        <v>26557</v>
      </c>
      <c r="AD361" s="14">
        <f t="shared" si="192"/>
        <v>0.88523333333333332</v>
      </c>
    </row>
    <row r="362" spans="1:30" x14ac:dyDescent="0.25">
      <c r="A362" s="7">
        <v>355</v>
      </c>
      <c r="B362" s="9"/>
      <c r="C362" s="9">
        <v>6171</v>
      </c>
      <c r="D362" s="9">
        <v>5162</v>
      </c>
      <c r="E362" s="9"/>
      <c r="F362" s="13" t="s">
        <v>229</v>
      </c>
      <c r="G362" s="13"/>
      <c r="H362" s="87">
        <v>120000</v>
      </c>
      <c r="K362" s="89">
        <f t="shared" si="207"/>
        <v>120000</v>
      </c>
      <c r="L362" s="90">
        <v>25380.01</v>
      </c>
      <c r="M362" s="14">
        <f t="shared" si="191"/>
        <v>0.21150008333333331</v>
      </c>
      <c r="R362" s="89">
        <f t="shared" si="208"/>
        <v>120000</v>
      </c>
      <c r="S362" s="90">
        <v>54147.29</v>
      </c>
      <c r="T362" s="14">
        <f t="shared" si="203"/>
        <v>0.45122741666666666</v>
      </c>
      <c r="V362" s="89">
        <f t="shared" si="209"/>
        <v>120000</v>
      </c>
      <c r="W362" s="90">
        <v>79570.03</v>
      </c>
      <c r="X362" s="14">
        <f t="shared" si="198"/>
        <v>0.66308358333333328</v>
      </c>
      <c r="AB362" s="89">
        <f t="shared" si="210"/>
        <v>120000</v>
      </c>
      <c r="AC362" s="90">
        <v>108163.56</v>
      </c>
      <c r="AD362" s="14">
        <f t="shared" si="192"/>
        <v>0.90136300000000003</v>
      </c>
    </row>
    <row r="363" spans="1:30" x14ac:dyDescent="0.25">
      <c r="A363" s="7">
        <v>356</v>
      </c>
      <c r="B363" s="9"/>
      <c r="C363" s="9">
        <v>6171</v>
      </c>
      <c r="D363" s="9">
        <v>5163</v>
      </c>
      <c r="E363" s="9"/>
      <c r="F363" s="13" t="s">
        <v>203</v>
      </c>
      <c r="G363" s="13" t="s">
        <v>309</v>
      </c>
      <c r="H363" s="87">
        <v>150000</v>
      </c>
      <c r="K363" s="89">
        <f t="shared" si="207"/>
        <v>150000</v>
      </c>
      <c r="L363" s="90">
        <v>2401.5</v>
      </c>
      <c r="M363" s="14">
        <f t="shared" si="191"/>
        <v>1.601E-2</v>
      </c>
      <c r="R363" s="89">
        <f t="shared" si="208"/>
        <v>150000</v>
      </c>
      <c r="S363" s="90">
        <v>131966.5</v>
      </c>
      <c r="T363" s="14">
        <f t="shared" si="203"/>
        <v>0.87977666666666665</v>
      </c>
      <c r="V363" s="89">
        <f t="shared" si="209"/>
        <v>150000</v>
      </c>
      <c r="W363" s="90">
        <v>135439</v>
      </c>
      <c r="X363" s="14">
        <f t="shared" si="198"/>
        <v>0.90292666666666666</v>
      </c>
      <c r="AB363" s="89">
        <f t="shared" si="210"/>
        <v>150000</v>
      </c>
      <c r="AC363" s="90">
        <v>142670.5</v>
      </c>
      <c r="AD363" s="14">
        <f t="shared" si="192"/>
        <v>0.95113666666666663</v>
      </c>
    </row>
    <row r="364" spans="1:30" x14ac:dyDescent="0.25">
      <c r="A364" s="7">
        <v>357</v>
      </c>
      <c r="B364" s="9"/>
      <c r="C364" s="9">
        <v>6171</v>
      </c>
      <c r="D364" s="9">
        <v>5164</v>
      </c>
      <c r="E364" s="9"/>
      <c r="F364" s="13" t="s">
        <v>136</v>
      </c>
      <c r="G364" s="13"/>
      <c r="H364" s="87">
        <v>10000</v>
      </c>
      <c r="K364" s="89">
        <f t="shared" si="207"/>
        <v>10000</v>
      </c>
      <c r="M364" s="14">
        <f t="shared" si="191"/>
        <v>0</v>
      </c>
      <c r="R364" s="89">
        <f t="shared" si="208"/>
        <v>10000</v>
      </c>
      <c r="S364" s="90">
        <v>0</v>
      </c>
      <c r="T364" s="14">
        <f t="shared" si="203"/>
        <v>0</v>
      </c>
      <c r="V364" s="89">
        <f t="shared" si="209"/>
        <v>10000</v>
      </c>
      <c r="W364" s="90">
        <v>0</v>
      </c>
      <c r="X364" s="14">
        <f t="shared" si="198"/>
        <v>0</v>
      </c>
      <c r="AB364" s="89">
        <f t="shared" si="210"/>
        <v>10000</v>
      </c>
      <c r="AC364" s="90">
        <v>0</v>
      </c>
      <c r="AD364" s="14">
        <f t="shared" si="192"/>
        <v>0</v>
      </c>
    </row>
    <row r="365" spans="1:30" x14ac:dyDescent="0.25">
      <c r="A365" s="7">
        <v>358</v>
      </c>
      <c r="B365" s="9"/>
      <c r="C365" s="9">
        <v>6171</v>
      </c>
      <c r="D365" s="9">
        <v>5166</v>
      </c>
      <c r="E365" s="9"/>
      <c r="F365" s="13" t="s">
        <v>230</v>
      </c>
      <c r="G365" s="13"/>
      <c r="H365" s="87">
        <v>900000</v>
      </c>
      <c r="K365" s="89">
        <f t="shared" si="207"/>
        <v>900000</v>
      </c>
      <c r="L365" s="90">
        <v>35031.25</v>
      </c>
      <c r="M365" s="14">
        <f t="shared" si="191"/>
        <v>3.892361111111111E-2</v>
      </c>
      <c r="R365" s="89">
        <f t="shared" si="208"/>
        <v>900000</v>
      </c>
      <c r="S365" s="90">
        <v>136247.75</v>
      </c>
      <c r="T365" s="14">
        <f t="shared" si="203"/>
        <v>0.15138638888888889</v>
      </c>
      <c r="V365" s="89">
        <f t="shared" si="209"/>
        <v>900000</v>
      </c>
      <c r="W365" s="90">
        <v>160350.54999999999</v>
      </c>
      <c r="X365" s="14">
        <f t="shared" si="198"/>
        <v>0.17816727777777777</v>
      </c>
      <c r="AB365" s="89">
        <f t="shared" si="210"/>
        <v>900000</v>
      </c>
      <c r="AC365" s="90">
        <v>474237.75</v>
      </c>
      <c r="AD365" s="14">
        <f t="shared" si="192"/>
        <v>0.52693083333333335</v>
      </c>
    </row>
    <row r="366" spans="1:30" x14ac:dyDescent="0.25">
      <c r="A366" s="7">
        <v>359</v>
      </c>
      <c r="B366" s="9"/>
      <c r="C366" s="9">
        <v>6171</v>
      </c>
      <c r="D366" s="9">
        <v>5167</v>
      </c>
      <c r="E366" s="9"/>
      <c r="F366" s="13" t="s">
        <v>204</v>
      </c>
      <c r="G366" s="13"/>
      <c r="H366" s="87">
        <v>100000</v>
      </c>
      <c r="K366" s="89">
        <f t="shared" si="207"/>
        <v>100000</v>
      </c>
      <c r="L366" s="90">
        <v>17951.88</v>
      </c>
      <c r="M366" s="14">
        <f t="shared" si="191"/>
        <v>0.17951880000000001</v>
      </c>
      <c r="O366" s="88">
        <v>25800</v>
      </c>
      <c r="R366" s="89">
        <f t="shared" si="208"/>
        <v>125800</v>
      </c>
      <c r="S366" s="90">
        <v>21413.88</v>
      </c>
      <c r="T366" s="14">
        <f t="shared" si="203"/>
        <v>0.17022162162162163</v>
      </c>
      <c r="V366" s="89">
        <f t="shared" si="209"/>
        <v>125800</v>
      </c>
      <c r="W366" s="90">
        <v>30485.88</v>
      </c>
      <c r="X366" s="14">
        <f t="shared" si="198"/>
        <v>0.24233608903020668</v>
      </c>
      <c r="AB366" s="89">
        <f t="shared" si="210"/>
        <v>125800</v>
      </c>
      <c r="AC366" s="90">
        <v>55995.88</v>
      </c>
      <c r="AD366" s="14">
        <f t="shared" si="192"/>
        <v>0.44511828298887118</v>
      </c>
    </row>
    <row r="367" spans="1:30" x14ac:dyDescent="0.25">
      <c r="A367" s="7">
        <v>360</v>
      </c>
      <c r="B367" s="9"/>
      <c r="C367" s="9">
        <v>6171</v>
      </c>
      <c r="D367" s="9">
        <v>5168</v>
      </c>
      <c r="E367" s="9"/>
      <c r="F367" s="13" t="s">
        <v>231</v>
      </c>
      <c r="G367" s="13" t="s">
        <v>309</v>
      </c>
      <c r="H367" s="87">
        <v>475000</v>
      </c>
      <c r="I367" s="88">
        <v>60000</v>
      </c>
      <c r="K367" s="89">
        <f t="shared" si="207"/>
        <v>535000</v>
      </c>
      <c r="L367" s="90">
        <v>73259.14</v>
      </c>
      <c r="M367" s="14">
        <f t="shared" si="191"/>
        <v>0.13693297196261683</v>
      </c>
      <c r="R367" s="89">
        <f t="shared" si="208"/>
        <v>535000</v>
      </c>
      <c r="S367" s="90">
        <v>179087.52</v>
      </c>
      <c r="T367" s="14">
        <f t="shared" si="203"/>
        <v>0.33474302803738315</v>
      </c>
      <c r="V367" s="89">
        <f t="shared" si="209"/>
        <v>535000</v>
      </c>
      <c r="W367" s="90">
        <v>252427.47</v>
      </c>
      <c r="X367" s="14">
        <f t="shared" si="198"/>
        <v>0.47182704672897197</v>
      </c>
      <c r="AB367" s="89">
        <f t="shared" si="210"/>
        <v>535000</v>
      </c>
      <c r="AC367" s="90">
        <v>363465.98</v>
      </c>
      <c r="AD367" s="14">
        <f t="shared" si="192"/>
        <v>0.67937566355140189</v>
      </c>
    </row>
    <row r="368" spans="1:30" x14ac:dyDescent="0.25">
      <c r="A368" s="7">
        <v>361</v>
      </c>
      <c r="B368" s="9"/>
      <c r="C368" s="9">
        <v>6171</v>
      </c>
      <c r="D368" s="9">
        <v>5169</v>
      </c>
      <c r="E368" s="9"/>
      <c r="F368" s="9" t="s">
        <v>130</v>
      </c>
      <c r="G368" s="9"/>
      <c r="H368" s="87">
        <v>950000</v>
      </c>
      <c r="K368" s="89">
        <f t="shared" si="207"/>
        <v>950000</v>
      </c>
      <c r="L368" s="90">
        <v>101355.71</v>
      </c>
      <c r="M368" s="14">
        <f t="shared" si="191"/>
        <v>0.10669022105263158</v>
      </c>
      <c r="R368" s="89">
        <f t="shared" si="208"/>
        <v>950000</v>
      </c>
      <c r="S368" s="90">
        <v>396859.26</v>
      </c>
      <c r="T368" s="14">
        <f t="shared" si="203"/>
        <v>0.4177465894736842</v>
      </c>
      <c r="V368" s="89">
        <f t="shared" si="209"/>
        <v>950000</v>
      </c>
      <c r="W368" s="90">
        <v>494883.04</v>
      </c>
      <c r="X368" s="14">
        <f t="shared" si="198"/>
        <v>0.52092951578947366</v>
      </c>
      <c r="AB368" s="89">
        <f t="shared" si="210"/>
        <v>950000</v>
      </c>
      <c r="AC368" s="90">
        <v>757753.91</v>
      </c>
      <c r="AD368" s="14">
        <f t="shared" si="192"/>
        <v>0.79763569473684215</v>
      </c>
    </row>
    <row r="369" spans="1:30" x14ac:dyDescent="0.25">
      <c r="A369" s="7">
        <v>362</v>
      </c>
      <c r="B369" s="9"/>
      <c r="C369" s="9">
        <v>6171</v>
      </c>
      <c r="D369" s="9">
        <v>5171</v>
      </c>
      <c r="E369" s="9"/>
      <c r="F369" s="13" t="s">
        <v>94</v>
      </c>
      <c r="G369" s="13"/>
      <c r="H369" s="87">
        <v>75000</v>
      </c>
      <c r="K369" s="89">
        <f t="shared" si="207"/>
        <v>75000</v>
      </c>
      <c r="L369" s="90">
        <v>3000</v>
      </c>
      <c r="M369" s="14">
        <f t="shared" si="191"/>
        <v>0.04</v>
      </c>
      <c r="R369" s="89">
        <f t="shared" si="208"/>
        <v>75000</v>
      </c>
      <c r="S369" s="90">
        <v>21641.4</v>
      </c>
      <c r="T369" s="14">
        <f t="shared" si="203"/>
        <v>0.28855200000000003</v>
      </c>
      <c r="V369" s="89">
        <f t="shared" si="209"/>
        <v>75000</v>
      </c>
      <c r="W369" s="90">
        <v>21641.4</v>
      </c>
      <c r="X369" s="14">
        <f t="shared" si="198"/>
        <v>0.28855200000000003</v>
      </c>
      <c r="AB369" s="89">
        <f t="shared" si="210"/>
        <v>75000</v>
      </c>
      <c r="AC369" s="90">
        <v>41055.4</v>
      </c>
      <c r="AD369" s="14">
        <f t="shared" si="192"/>
        <v>0.5474053333333333</v>
      </c>
    </row>
    <row r="370" spans="1:30" x14ac:dyDescent="0.25">
      <c r="A370" s="7">
        <v>363</v>
      </c>
      <c r="B370" s="9"/>
      <c r="C370" s="9">
        <v>6171</v>
      </c>
      <c r="D370" s="9">
        <v>5172</v>
      </c>
      <c r="E370" s="9"/>
      <c r="F370" s="13" t="s">
        <v>156</v>
      </c>
      <c r="G370" s="13"/>
      <c r="H370" s="87">
        <v>100000</v>
      </c>
      <c r="K370" s="89">
        <f t="shared" si="207"/>
        <v>100000</v>
      </c>
      <c r="L370" s="90">
        <v>0</v>
      </c>
      <c r="M370" s="14">
        <f t="shared" si="191"/>
        <v>0</v>
      </c>
      <c r="R370" s="89">
        <f t="shared" si="208"/>
        <v>100000</v>
      </c>
      <c r="S370" s="90">
        <v>0</v>
      </c>
      <c r="T370" s="14">
        <f t="shared" si="203"/>
        <v>0</v>
      </c>
      <c r="V370" s="89">
        <f t="shared" si="209"/>
        <v>100000</v>
      </c>
      <c r="W370" s="90">
        <v>0</v>
      </c>
      <c r="X370" s="14">
        <f t="shared" si="198"/>
        <v>0</v>
      </c>
      <c r="AB370" s="89">
        <f t="shared" si="210"/>
        <v>100000</v>
      </c>
      <c r="AC370" s="90">
        <v>26267.84</v>
      </c>
      <c r="AD370" s="14">
        <f t="shared" si="192"/>
        <v>0.26267839999999998</v>
      </c>
    </row>
    <row r="371" spans="1:30" x14ac:dyDescent="0.25">
      <c r="A371" s="7">
        <v>364</v>
      </c>
      <c r="B371" s="9"/>
      <c r="C371" s="9">
        <v>6171</v>
      </c>
      <c r="D371" s="9">
        <v>5173</v>
      </c>
      <c r="E371" s="9"/>
      <c r="F371" s="13" t="s">
        <v>217</v>
      </c>
      <c r="G371" s="13"/>
      <c r="H371" s="87">
        <v>40000</v>
      </c>
      <c r="K371" s="89">
        <f t="shared" si="207"/>
        <v>40000</v>
      </c>
      <c r="L371" s="90">
        <v>3914</v>
      </c>
      <c r="M371" s="14">
        <f t="shared" si="191"/>
        <v>9.7850000000000006E-2</v>
      </c>
      <c r="R371" s="89">
        <f t="shared" si="208"/>
        <v>40000</v>
      </c>
      <c r="S371" s="90">
        <v>9326</v>
      </c>
      <c r="T371" s="14">
        <f t="shared" si="203"/>
        <v>0.23315</v>
      </c>
      <c r="V371" s="89">
        <f t="shared" si="209"/>
        <v>40000</v>
      </c>
      <c r="W371" s="90">
        <v>13808</v>
      </c>
      <c r="X371" s="14">
        <f t="shared" si="198"/>
        <v>0.34520000000000001</v>
      </c>
      <c r="AB371" s="89">
        <f t="shared" si="210"/>
        <v>40000</v>
      </c>
      <c r="AC371" s="90">
        <v>19115</v>
      </c>
      <c r="AD371" s="14">
        <f t="shared" si="192"/>
        <v>0.47787499999999999</v>
      </c>
    </row>
    <row r="372" spans="1:30" x14ac:dyDescent="0.25">
      <c r="A372" s="7">
        <v>365</v>
      </c>
      <c r="B372" s="37"/>
      <c r="C372" s="37">
        <v>6171</v>
      </c>
      <c r="D372" s="37">
        <v>5175</v>
      </c>
      <c r="E372" s="37"/>
      <c r="F372" s="34" t="s">
        <v>139</v>
      </c>
      <c r="G372" s="34"/>
      <c r="H372" s="87">
        <v>20000</v>
      </c>
      <c r="K372" s="89">
        <f t="shared" si="207"/>
        <v>20000</v>
      </c>
      <c r="L372" s="90">
        <v>1615</v>
      </c>
      <c r="M372" s="14">
        <f t="shared" si="191"/>
        <v>8.0750000000000002E-2</v>
      </c>
      <c r="R372" s="89">
        <f t="shared" si="208"/>
        <v>20000</v>
      </c>
      <c r="S372" s="90">
        <v>5849</v>
      </c>
      <c r="T372" s="14">
        <f t="shared" si="203"/>
        <v>0.29244999999999999</v>
      </c>
      <c r="V372" s="89">
        <f t="shared" si="209"/>
        <v>20000</v>
      </c>
      <c r="W372" s="90">
        <v>8236</v>
      </c>
      <c r="X372" s="14">
        <f t="shared" si="198"/>
        <v>0.4118</v>
      </c>
      <c r="AB372" s="89">
        <f t="shared" si="210"/>
        <v>20000</v>
      </c>
      <c r="AC372" s="90">
        <v>10904</v>
      </c>
      <c r="AD372" s="14">
        <f t="shared" si="192"/>
        <v>0.54520000000000002</v>
      </c>
    </row>
    <row r="373" spans="1:30" x14ac:dyDescent="0.25">
      <c r="A373" s="7">
        <v>366</v>
      </c>
      <c r="B373" s="9"/>
      <c r="C373" s="9">
        <v>6171</v>
      </c>
      <c r="D373" s="9">
        <v>5176</v>
      </c>
      <c r="E373" s="9"/>
      <c r="F373" s="13" t="s">
        <v>232</v>
      </c>
      <c r="G373" s="13"/>
      <c r="H373" s="87">
        <v>10000</v>
      </c>
      <c r="K373" s="89">
        <f t="shared" si="207"/>
        <v>10000</v>
      </c>
      <c r="M373" s="14">
        <f t="shared" si="191"/>
        <v>0</v>
      </c>
      <c r="R373" s="89">
        <f t="shared" si="208"/>
        <v>10000</v>
      </c>
      <c r="T373" s="14">
        <f t="shared" si="203"/>
        <v>0</v>
      </c>
      <c r="V373" s="89">
        <f t="shared" si="209"/>
        <v>10000</v>
      </c>
      <c r="X373" s="14">
        <f t="shared" si="198"/>
        <v>0</v>
      </c>
      <c r="AB373" s="89">
        <f t="shared" si="210"/>
        <v>10000</v>
      </c>
      <c r="AD373" s="14">
        <f t="shared" si="192"/>
        <v>0</v>
      </c>
    </row>
    <row r="374" spans="1:30" x14ac:dyDescent="0.25">
      <c r="A374" s="7">
        <v>367</v>
      </c>
      <c r="B374" s="9"/>
      <c r="C374" s="9">
        <v>6171</v>
      </c>
      <c r="D374" s="9">
        <v>5179</v>
      </c>
      <c r="E374" s="9"/>
      <c r="F374" s="34" t="s">
        <v>186</v>
      </c>
      <c r="G374" s="34"/>
      <c r="H374" s="87">
        <v>30000</v>
      </c>
      <c r="K374" s="89">
        <f t="shared" si="207"/>
        <v>30000</v>
      </c>
      <c r="L374" s="90">
        <v>16018</v>
      </c>
      <c r="M374" s="14">
        <f t="shared" si="191"/>
        <v>0.53393333333333337</v>
      </c>
      <c r="R374" s="89">
        <f t="shared" si="208"/>
        <v>30000</v>
      </c>
      <c r="S374" s="90">
        <v>18018</v>
      </c>
      <c r="T374" s="14">
        <f t="shared" si="203"/>
        <v>0.60060000000000002</v>
      </c>
      <c r="V374" s="89">
        <f t="shared" si="209"/>
        <v>30000</v>
      </c>
      <c r="W374" s="90">
        <v>26018</v>
      </c>
      <c r="X374" s="14">
        <f t="shared" si="198"/>
        <v>0.86726666666666663</v>
      </c>
      <c r="AB374" s="89">
        <f t="shared" si="210"/>
        <v>30000</v>
      </c>
      <c r="AC374" s="90">
        <v>26018</v>
      </c>
      <c r="AD374" s="14">
        <f t="shared" si="192"/>
        <v>0.86726666666666663</v>
      </c>
    </row>
    <row r="375" spans="1:30" x14ac:dyDescent="0.25">
      <c r="A375" s="7">
        <v>368</v>
      </c>
      <c r="B375" s="9"/>
      <c r="C375" s="9">
        <v>6171</v>
      </c>
      <c r="D375" s="9">
        <v>5362</v>
      </c>
      <c r="E375" s="9"/>
      <c r="F375" s="13" t="s">
        <v>233</v>
      </c>
      <c r="G375" s="13"/>
      <c r="H375" s="87">
        <v>25000</v>
      </c>
      <c r="K375" s="89">
        <f t="shared" si="207"/>
        <v>25000</v>
      </c>
      <c r="L375" s="90">
        <v>2000</v>
      </c>
      <c r="M375" s="14">
        <f t="shared" si="191"/>
        <v>0.08</v>
      </c>
      <c r="R375" s="89">
        <f t="shared" si="208"/>
        <v>25000</v>
      </c>
      <c r="S375" s="90">
        <v>4000</v>
      </c>
      <c r="T375" s="14">
        <f t="shared" si="203"/>
        <v>0.16</v>
      </c>
      <c r="V375" s="89">
        <f t="shared" si="209"/>
        <v>25000</v>
      </c>
      <c r="W375" s="90">
        <v>4000</v>
      </c>
      <c r="X375" s="14">
        <f t="shared" si="198"/>
        <v>0.16</v>
      </c>
      <c r="AB375" s="89">
        <f t="shared" si="210"/>
        <v>25000</v>
      </c>
      <c r="AC375" s="90">
        <v>4000</v>
      </c>
      <c r="AD375" s="14">
        <f t="shared" si="192"/>
        <v>0.16</v>
      </c>
    </row>
    <row r="376" spans="1:30" x14ac:dyDescent="0.25">
      <c r="A376" s="7">
        <v>369</v>
      </c>
      <c r="B376" s="9"/>
      <c r="C376" s="9">
        <v>6171</v>
      </c>
      <c r="D376" s="9">
        <v>5191</v>
      </c>
      <c r="E376" s="9"/>
      <c r="F376" s="13" t="s">
        <v>234</v>
      </c>
      <c r="G376" s="13"/>
      <c r="K376" s="89">
        <f t="shared" si="207"/>
        <v>0</v>
      </c>
      <c r="M376" s="14">
        <f t="shared" si="191"/>
        <v>0</v>
      </c>
      <c r="R376" s="89">
        <f t="shared" si="208"/>
        <v>0</v>
      </c>
      <c r="T376" s="14">
        <f t="shared" si="203"/>
        <v>0</v>
      </c>
      <c r="V376" s="89">
        <f t="shared" si="209"/>
        <v>0</v>
      </c>
      <c r="X376" s="14">
        <f t="shared" si="198"/>
        <v>0</v>
      </c>
      <c r="AB376" s="89">
        <f t="shared" si="210"/>
        <v>0</v>
      </c>
      <c r="AD376" s="14">
        <f t="shared" si="192"/>
        <v>0</v>
      </c>
    </row>
    <row r="377" spans="1:30" x14ac:dyDescent="0.25">
      <c r="A377" s="7">
        <v>370</v>
      </c>
      <c r="B377" s="9"/>
      <c r="C377" s="9">
        <v>6171</v>
      </c>
      <c r="D377" s="9">
        <v>5192</v>
      </c>
      <c r="E377" s="9"/>
      <c r="F377" s="13" t="s">
        <v>235</v>
      </c>
      <c r="G377" s="13"/>
      <c r="H377" s="87">
        <v>5000</v>
      </c>
      <c r="K377" s="89">
        <f t="shared" si="207"/>
        <v>5000</v>
      </c>
      <c r="M377" s="14">
        <f t="shared" si="191"/>
        <v>0</v>
      </c>
      <c r="R377" s="89">
        <f t="shared" si="208"/>
        <v>5000</v>
      </c>
      <c r="T377" s="14">
        <f t="shared" si="203"/>
        <v>0</v>
      </c>
      <c r="V377" s="89">
        <f t="shared" si="209"/>
        <v>5000</v>
      </c>
      <c r="X377" s="14">
        <f t="shared" si="198"/>
        <v>0</v>
      </c>
      <c r="AB377" s="89">
        <f t="shared" si="210"/>
        <v>5000</v>
      </c>
      <c r="AD377" s="14">
        <f t="shared" si="192"/>
        <v>0</v>
      </c>
    </row>
    <row r="378" spans="1:30" x14ac:dyDescent="0.25">
      <c r="A378" s="7">
        <v>371</v>
      </c>
      <c r="B378" s="9"/>
      <c r="C378" s="9">
        <v>6171</v>
      </c>
      <c r="D378" s="9">
        <v>5194</v>
      </c>
      <c r="E378" s="9"/>
      <c r="F378" s="13" t="s">
        <v>236</v>
      </c>
      <c r="G378" s="13"/>
      <c r="H378" s="87">
        <v>25000</v>
      </c>
      <c r="K378" s="89">
        <f t="shared" si="207"/>
        <v>25000</v>
      </c>
      <c r="L378" s="90">
        <v>3999</v>
      </c>
      <c r="M378" s="14">
        <f t="shared" si="191"/>
        <v>0.15995999999999999</v>
      </c>
      <c r="R378" s="89">
        <f t="shared" si="208"/>
        <v>25000</v>
      </c>
      <c r="S378" s="90">
        <v>7399</v>
      </c>
      <c r="T378" s="14">
        <f t="shared" si="203"/>
        <v>0.29596</v>
      </c>
      <c r="V378" s="89">
        <f t="shared" si="209"/>
        <v>25000</v>
      </c>
      <c r="W378" s="90">
        <v>7399</v>
      </c>
      <c r="X378" s="14">
        <f t="shared" si="198"/>
        <v>0.29596</v>
      </c>
      <c r="AB378" s="89">
        <f t="shared" si="210"/>
        <v>25000</v>
      </c>
      <c r="AC378" s="90">
        <v>7399</v>
      </c>
      <c r="AD378" s="14">
        <f t="shared" si="192"/>
        <v>0.29596</v>
      </c>
    </row>
    <row r="379" spans="1:30" x14ac:dyDescent="0.25">
      <c r="A379" s="7">
        <v>372</v>
      </c>
      <c r="B379" s="9"/>
      <c r="C379" s="9">
        <v>6171</v>
      </c>
      <c r="D379" s="9">
        <v>5492</v>
      </c>
      <c r="E379" s="9"/>
      <c r="F379" s="13" t="s">
        <v>187</v>
      </c>
      <c r="G379" s="13"/>
      <c r="H379" s="87">
        <v>100000</v>
      </c>
      <c r="K379" s="89">
        <f t="shared" si="207"/>
        <v>100000</v>
      </c>
      <c r="M379" s="14">
        <f t="shared" si="191"/>
        <v>0</v>
      </c>
      <c r="R379" s="89">
        <f t="shared" si="208"/>
        <v>100000</v>
      </c>
      <c r="T379" s="14">
        <f t="shared" si="203"/>
        <v>0</v>
      </c>
      <c r="V379" s="89">
        <f t="shared" si="209"/>
        <v>100000</v>
      </c>
      <c r="W379" s="90">
        <v>6000</v>
      </c>
      <c r="X379" s="14">
        <f t="shared" si="198"/>
        <v>0.06</v>
      </c>
      <c r="AB379" s="89">
        <f t="shared" si="210"/>
        <v>100000</v>
      </c>
      <c r="AC379" s="90">
        <v>66169</v>
      </c>
      <c r="AD379" s="14">
        <f t="shared" si="192"/>
        <v>0.66169</v>
      </c>
    </row>
    <row r="380" spans="1:30" x14ac:dyDescent="0.25">
      <c r="A380" s="7">
        <v>373</v>
      </c>
      <c r="B380" s="9"/>
      <c r="C380" s="9">
        <v>6171</v>
      </c>
      <c r="D380" s="9">
        <v>5499</v>
      </c>
      <c r="E380" s="9"/>
      <c r="F380" s="13" t="s">
        <v>237</v>
      </c>
      <c r="G380" s="13"/>
      <c r="H380" s="87">
        <v>300000</v>
      </c>
      <c r="K380" s="89">
        <f t="shared" si="207"/>
        <v>300000</v>
      </c>
      <c r="L380" s="90">
        <v>40002</v>
      </c>
      <c r="M380" s="14">
        <f t="shared" si="191"/>
        <v>0.13333999999999999</v>
      </c>
      <c r="R380" s="89">
        <f t="shared" si="208"/>
        <v>300000</v>
      </c>
      <c r="S380" s="90">
        <v>114160</v>
      </c>
      <c r="T380" s="14">
        <f t="shared" si="203"/>
        <v>0.38053333333333333</v>
      </c>
      <c r="V380" s="89">
        <f t="shared" si="209"/>
        <v>300000</v>
      </c>
      <c r="W380" s="90">
        <v>158464</v>
      </c>
      <c r="X380" s="14">
        <f t="shared" si="198"/>
        <v>0.52821333333333331</v>
      </c>
      <c r="AB380" s="89">
        <f t="shared" si="210"/>
        <v>300000</v>
      </c>
      <c r="AC380" s="90">
        <v>194203</v>
      </c>
      <c r="AD380" s="14">
        <f t="shared" si="192"/>
        <v>0.64734333333333338</v>
      </c>
    </row>
    <row r="381" spans="1:30" x14ac:dyDescent="0.25">
      <c r="A381" s="7">
        <v>374</v>
      </c>
      <c r="B381" s="9"/>
      <c r="C381" s="9">
        <v>6171</v>
      </c>
      <c r="D381" s="9">
        <v>5660</v>
      </c>
      <c r="E381" s="9"/>
      <c r="F381" s="13" t="s">
        <v>238</v>
      </c>
      <c r="G381" s="13"/>
      <c r="L381" s="90">
        <v>20000</v>
      </c>
      <c r="M381" s="14">
        <f t="shared" si="191"/>
        <v>0</v>
      </c>
      <c r="R381" s="89">
        <f t="shared" si="208"/>
        <v>0</v>
      </c>
      <c r="S381" s="90">
        <v>20000</v>
      </c>
      <c r="T381" s="14">
        <f t="shared" si="203"/>
        <v>0</v>
      </c>
      <c r="V381" s="89">
        <f t="shared" si="209"/>
        <v>0</v>
      </c>
      <c r="W381" s="90">
        <v>20000</v>
      </c>
      <c r="X381" s="14">
        <f t="shared" si="198"/>
        <v>0</v>
      </c>
      <c r="AB381" s="89">
        <f t="shared" si="210"/>
        <v>0</v>
      </c>
      <c r="AC381" s="90">
        <v>20000</v>
      </c>
      <c r="AD381" s="14">
        <f t="shared" si="192"/>
        <v>0</v>
      </c>
    </row>
    <row r="382" spans="1:30" x14ac:dyDescent="0.25">
      <c r="A382" s="7">
        <v>375</v>
      </c>
      <c r="B382" s="9"/>
      <c r="C382" s="36"/>
      <c r="D382" s="36" t="s">
        <v>239</v>
      </c>
      <c r="E382" s="36"/>
      <c r="F382" s="35"/>
      <c r="G382" s="35"/>
      <c r="H382" s="66">
        <f>SUM(H346:H381)</f>
        <v>10782000</v>
      </c>
      <c r="I382" s="55">
        <f>SUM(I346:I381)</f>
        <v>60000</v>
      </c>
      <c r="J382" s="55">
        <f>SUM(J346:J381)</f>
        <v>0</v>
      </c>
      <c r="K382" s="50">
        <f>SUM(K346:K381)</f>
        <v>10842000</v>
      </c>
      <c r="L382" s="102">
        <f>SUM(L346:L381)</f>
        <v>1365115.0699999996</v>
      </c>
      <c r="M382" s="14">
        <f t="shared" si="191"/>
        <v>0.12590989393100901</v>
      </c>
      <c r="N382" s="55">
        <f t="shared" ref="N382:S382" si="211">SUM(N346:N381)</f>
        <v>0</v>
      </c>
      <c r="O382" s="55">
        <f t="shared" si="211"/>
        <v>45800</v>
      </c>
      <c r="P382" s="55">
        <f t="shared" si="211"/>
        <v>0</v>
      </c>
      <c r="Q382" s="55">
        <f t="shared" si="211"/>
        <v>0</v>
      </c>
      <c r="R382" s="50">
        <f t="shared" si="211"/>
        <v>10887800</v>
      </c>
      <c r="S382" s="102">
        <f t="shared" si="211"/>
        <v>3450782.14</v>
      </c>
      <c r="T382" s="14">
        <f t="shared" si="203"/>
        <v>0.31694025790334135</v>
      </c>
      <c r="U382" s="55">
        <f t="shared" ref="U382" si="212">SUM(U346:U381)</f>
        <v>0</v>
      </c>
      <c r="V382" s="50">
        <f t="shared" ref="V382" si="213">SUM(V346:V381)</f>
        <v>10887800</v>
      </c>
      <c r="W382" s="102">
        <f t="shared" ref="W382" si="214">SUM(W346:W381)</f>
        <v>5421581.0499999989</v>
      </c>
      <c r="X382" s="14">
        <f t="shared" si="198"/>
        <v>0.49795009551975594</v>
      </c>
      <c r="Y382" s="55">
        <f t="shared" ref="Y382:AC382" si="215">SUM(Y346:Y381)</f>
        <v>0</v>
      </c>
      <c r="Z382" s="55">
        <f t="shared" si="215"/>
        <v>0</v>
      </c>
      <c r="AA382" s="55">
        <f t="shared" si="215"/>
        <v>0</v>
      </c>
      <c r="AB382" s="50">
        <f t="shared" si="215"/>
        <v>10887800</v>
      </c>
      <c r="AC382" s="102">
        <f t="shared" si="215"/>
        <v>8412741.9000000004</v>
      </c>
      <c r="AD382" s="14">
        <f t="shared" si="192"/>
        <v>0.77267601351971937</v>
      </c>
    </row>
    <row r="383" spans="1:30" ht="13.8" thickBot="1" x14ac:dyDescent="0.3">
      <c r="A383" s="7">
        <v>376</v>
      </c>
      <c r="B383" s="9"/>
      <c r="C383" s="16" t="s">
        <v>240</v>
      </c>
      <c r="D383" s="16"/>
      <c r="E383" s="16"/>
      <c r="F383" s="17"/>
      <c r="G383" s="17"/>
      <c r="H383" s="74">
        <f>SUM(H320:H332)+SUM(H346:H381)+H341</f>
        <v>14113000</v>
      </c>
      <c r="I383" s="83">
        <f>SUM(I320:I332)+SUM(I346:I381)+I341</f>
        <v>152200</v>
      </c>
      <c r="J383" s="83">
        <f>SUM(J320:J332)+SUM(J346:J381)+J341</f>
        <v>0</v>
      </c>
      <c r="K383" s="32">
        <f>SUM(K320:K332)+SUM(K346:K381)+K341</f>
        <v>14265200</v>
      </c>
      <c r="L383" s="108">
        <f>SUM(L320:L332)+SUM(L346:L381)+L341</f>
        <v>1915269.4699999995</v>
      </c>
      <c r="M383" s="14">
        <f t="shared" si="191"/>
        <v>0.13426166264756187</v>
      </c>
      <c r="N383" s="83">
        <f t="shared" ref="N383:S383" si="216">SUM(N320:N332)+SUM(N346:N381)+N341</f>
        <v>5000</v>
      </c>
      <c r="O383" s="83">
        <f t="shared" si="216"/>
        <v>45800</v>
      </c>
      <c r="P383" s="83">
        <f t="shared" si="216"/>
        <v>0</v>
      </c>
      <c r="Q383" s="83">
        <f t="shared" si="216"/>
        <v>0</v>
      </c>
      <c r="R383" s="32">
        <f t="shared" si="216"/>
        <v>14316000</v>
      </c>
      <c r="S383" s="108">
        <f t="shared" si="216"/>
        <v>4686128.540000001</v>
      </c>
      <c r="T383" s="112">
        <f t="shared" si="203"/>
        <v>0.32733504749930153</v>
      </c>
      <c r="U383" s="83">
        <f t="shared" ref="U383:W383" si="217">SUM(U320:U332)+SUM(U346:U381)+U341</f>
        <v>0</v>
      </c>
      <c r="V383" s="32">
        <f t="shared" si="217"/>
        <v>14316000</v>
      </c>
      <c r="W383" s="108">
        <f t="shared" si="217"/>
        <v>7335860.4499999993</v>
      </c>
      <c r="X383" s="112">
        <f t="shared" si="198"/>
        <v>0.51242389284716394</v>
      </c>
      <c r="Y383" s="83">
        <f t="shared" ref="Y383:AC383" si="218">SUM(Y320:Y332)+SUM(Y346:Y381)+Y341</f>
        <v>0</v>
      </c>
      <c r="Z383" s="83">
        <f t="shared" si="218"/>
        <v>0</v>
      </c>
      <c r="AA383" s="83">
        <f t="shared" si="218"/>
        <v>0</v>
      </c>
      <c r="AB383" s="32">
        <f t="shared" si="218"/>
        <v>14316000</v>
      </c>
      <c r="AC383" s="108">
        <f t="shared" si="218"/>
        <v>11381427.300000001</v>
      </c>
      <c r="AD383" s="112">
        <f t="shared" si="192"/>
        <v>0.79501448030176036</v>
      </c>
    </row>
    <row r="384" spans="1:30" ht="13.8" thickTop="1" x14ac:dyDescent="0.25">
      <c r="A384" s="7">
        <v>377</v>
      </c>
      <c r="B384" s="9"/>
      <c r="C384" s="9"/>
      <c r="D384" s="9"/>
      <c r="E384" s="9"/>
      <c r="F384" s="13"/>
      <c r="G384" s="13"/>
      <c r="M384" s="14">
        <f t="shared" si="191"/>
        <v>0</v>
      </c>
      <c r="T384" s="14">
        <f t="shared" si="203"/>
        <v>0</v>
      </c>
      <c r="X384" s="14">
        <f t="shared" si="198"/>
        <v>0</v>
      </c>
      <c r="AD384" s="14">
        <f t="shared" si="192"/>
        <v>0</v>
      </c>
    </row>
    <row r="385" spans="1:30" x14ac:dyDescent="0.25">
      <c r="A385" s="7">
        <v>378</v>
      </c>
      <c r="B385" s="9" t="s">
        <v>241</v>
      </c>
      <c r="C385" s="9"/>
      <c r="D385" s="9"/>
      <c r="E385" s="9"/>
      <c r="F385" s="13"/>
      <c r="G385" s="13"/>
      <c r="M385" s="14">
        <f t="shared" si="191"/>
        <v>0</v>
      </c>
      <c r="T385" s="14">
        <f t="shared" si="203"/>
        <v>0</v>
      </c>
      <c r="X385" s="14">
        <f t="shared" si="198"/>
        <v>0</v>
      </c>
      <c r="AD385" s="14">
        <f t="shared" si="192"/>
        <v>0</v>
      </c>
    </row>
    <row r="386" spans="1:30" x14ac:dyDescent="0.25">
      <c r="A386" s="7">
        <v>379</v>
      </c>
      <c r="B386" s="9"/>
      <c r="C386" s="9">
        <v>6330</v>
      </c>
      <c r="D386" s="9">
        <v>5342</v>
      </c>
      <c r="E386" s="9"/>
      <c r="F386" s="13" t="s">
        <v>242</v>
      </c>
      <c r="G386" s="13"/>
      <c r="H386" s="87">
        <v>400000</v>
      </c>
      <c r="K386" s="89">
        <f t="shared" ref="K386:K393" si="219">H386+I386+J386</f>
        <v>400000</v>
      </c>
      <c r="M386" s="14">
        <f t="shared" si="191"/>
        <v>0</v>
      </c>
      <c r="R386" s="89">
        <f t="shared" ref="R386:R393" si="220">H386+I386+J386+N386+O386+P386+Q386</f>
        <v>400000</v>
      </c>
      <c r="S386" s="90">
        <v>72836.7</v>
      </c>
      <c r="T386" s="14">
        <f t="shared" si="203"/>
        <v>0.18209175</v>
      </c>
      <c r="V386" s="89">
        <f t="shared" ref="V386:V393" si="221">H386+I386+J386+N386+O386+P386+Q386+U386</f>
        <v>400000</v>
      </c>
      <c r="W386" s="90">
        <v>164101.70000000001</v>
      </c>
      <c r="X386" s="14">
        <f t="shared" si="198"/>
        <v>0.41025425000000004</v>
      </c>
      <c r="AB386" s="89">
        <f t="shared" ref="AB386:AB392" si="222">H386+I386+J386+N386+O386+P386+Q386+U386+Y386+Z386+AA386</f>
        <v>400000</v>
      </c>
      <c r="AC386" s="90">
        <v>333757.7</v>
      </c>
      <c r="AD386" s="14">
        <f t="shared" si="192"/>
        <v>0.83439425</v>
      </c>
    </row>
    <row r="387" spans="1:30" x14ac:dyDescent="0.25">
      <c r="A387" s="7">
        <v>380</v>
      </c>
      <c r="B387" s="9"/>
      <c r="C387" s="9">
        <v>6399</v>
      </c>
      <c r="D387" s="9">
        <v>5365</v>
      </c>
      <c r="E387" s="9" t="s">
        <v>243</v>
      </c>
      <c r="F387" s="13" t="s">
        <v>244</v>
      </c>
      <c r="G387" s="13"/>
      <c r="K387" s="89">
        <f t="shared" si="219"/>
        <v>0</v>
      </c>
      <c r="M387" s="14">
        <f t="shared" si="191"/>
        <v>0</v>
      </c>
      <c r="Q387" s="88">
        <v>1388200</v>
      </c>
      <c r="R387" s="89">
        <f t="shared" si="220"/>
        <v>1388200</v>
      </c>
      <c r="T387" s="14">
        <f t="shared" si="203"/>
        <v>0</v>
      </c>
      <c r="V387" s="89">
        <f t="shared" si="221"/>
        <v>1388200</v>
      </c>
      <c r="W387" s="90">
        <v>1388113.61</v>
      </c>
      <c r="X387" s="14">
        <f t="shared" si="198"/>
        <v>0.99993776833309334</v>
      </c>
      <c r="AB387" s="89">
        <f t="shared" si="222"/>
        <v>1388200</v>
      </c>
      <c r="AC387" s="90">
        <v>1388113.61</v>
      </c>
      <c r="AD387" s="14">
        <f t="shared" si="192"/>
        <v>0.99993776833309334</v>
      </c>
    </row>
    <row r="388" spans="1:30" x14ac:dyDescent="0.25">
      <c r="A388" s="7">
        <v>381</v>
      </c>
      <c r="B388" s="9"/>
      <c r="C388" s="9">
        <v>6409</v>
      </c>
      <c r="D388" s="9">
        <v>5901</v>
      </c>
      <c r="E388" s="9"/>
      <c r="F388" s="13" t="s">
        <v>245</v>
      </c>
      <c r="G388" s="31" t="s">
        <v>311</v>
      </c>
      <c r="H388" s="87">
        <f>3000000+204400+50000-110000-150000-300000-25000+5000+575000</f>
        <v>3249400</v>
      </c>
      <c r="I388" s="88">
        <f>-41000-260000+27000</f>
        <v>-274000</v>
      </c>
      <c r="J388" s="88">
        <f>800000-400000</f>
        <v>400000</v>
      </c>
      <c r="K388" s="89">
        <f t="shared" si="219"/>
        <v>3375400</v>
      </c>
      <c r="M388" s="14">
        <f t="shared" si="191"/>
        <v>0</v>
      </c>
      <c r="N388" s="88">
        <f>100000-5000</f>
        <v>95000</v>
      </c>
      <c r="O388" s="88">
        <f>-50000-20000</f>
        <v>-70000</v>
      </c>
      <c r="P388" s="88">
        <f>1740100</f>
        <v>1740100</v>
      </c>
      <c r="Q388" s="88">
        <f>1747800+628000+3500-1388200</f>
        <v>991100</v>
      </c>
      <c r="R388" s="89">
        <f t="shared" si="220"/>
        <v>6131600</v>
      </c>
      <c r="T388" s="14">
        <f t="shared" si="203"/>
        <v>0</v>
      </c>
      <c r="U388" s="88">
        <f>8900-465000</f>
        <v>-456100</v>
      </c>
      <c r="V388" s="89">
        <f t="shared" si="221"/>
        <v>5675500</v>
      </c>
      <c r="X388" s="14">
        <f t="shared" si="198"/>
        <v>0</v>
      </c>
      <c r="Y388" s="88">
        <f>-60000-43000</f>
        <v>-103000</v>
      </c>
      <c r="Z388" s="88">
        <f>7300+2600000-1740100-2151800-1808100</f>
        <v>-3092700</v>
      </c>
      <c r="AA388" s="88">
        <f>218000</f>
        <v>218000</v>
      </c>
      <c r="AB388" s="89">
        <f t="shared" si="222"/>
        <v>2697800</v>
      </c>
      <c r="AD388" s="14">
        <f t="shared" si="192"/>
        <v>0</v>
      </c>
    </row>
    <row r="389" spans="1:30" x14ac:dyDescent="0.25">
      <c r="A389" s="7">
        <v>382</v>
      </c>
      <c r="B389" s="9"/>
      <c r="C389" s="9">
        <v>6330</v>
      </c>
      <c r="D389" s="9">
        <v>5347</v>
      </c>
      <c r="E389" s="9"/>
      <c r="F389" s="13" t="s">
        <v>246</v>
      </c>
      <c r="G389" s="13"/>
      <c r="K389" s="89">
        <f t="shared" si="219"/>
        <v>0</v>
      </c>
      <c r="M389" s="14">
        <f t="shared" si="191"/>
        <v>0</v>
      </c>
      <c r="R389" s="89">
        <f t="shared" si="220"/>
        <v>0</v>
      </c>
      <c r="T389" s="14">
        <f t="shared" si="203"/>
        <v>0</v>
      </c>
      <c r="V389" s="89">
        <f t="shared" si="221"/>
        <v>0</v>
      </c>
      <c r="X389" s="14">
        <f t="shared" si="198"/>
        <v>0</v>
      </c>
      <c r="AA389" s="88">
        <f>13800</f>
        <v>13800</v>
      </c>
      <c r="AB389" s="89">
        <f t="shared" si="222"/>
        <v>13800</v>
      </c>
      <c r="AC389" s="90">
        <v>13774</v>
      </c>
      <c r="AD389" s="14">
        <f t="shared" si="192"/>
        <v>0.99811594202898546</v>
      </c>
    </row>
    <row r="390" spans="1:30" x14ac:dyDescent="0.25">
      <c r="A390" s="7">
        <v>383</v>
      </c>
      <c r="B390" s="9"/>
      <c r="C390" s="9">
        <v>6330</v>
      </c>
      <c r="D390" s="9">
        <v>6363</v>
      </c>
      <c r="E390" s="9"/>
      <c r="F390" s="13" t="s">
        <v>247</v>
      </c>
      <c r="G390" s="13"/>
      <c r="K390" s="89">
        <f t="shared" si="219"/>
        <v>0</v>
      </c>
      <c r="M390" s="14">
        <f t="shared" ref="M390:M453" si="223">IF($K390=0,0,L390/$K390)</f>
        <v>0</v>
      </c>
      <c r="Q390" s="88">
        <v>1283700</v>
      </c>
      <c r="R390" s="89">
        <f t="shared" si="220"/>
        <v>1283700</v>
      </c>
      <c r="T390" s="14">
        <f t="shared" si="203"/>
        <v>0</v>
      </c>
      <c r="V390" s="89">
        <f t="shared" si="221"/>
        <v>1283700</v>
      </c>
      <c r="W390" s="90">
        <v>1283702.75</v>
      </c>
      <c r="X390" s="14">
        <f t="shared" si="198"/>
        <v>1.0000021422450729</v>
      </c>
      <c r="AB390" s="89">
        <f t="shared" si="222"/>
        <v>1283700</v>
      </c>
      <c r="AC390" s="90">
        <v>1283702.75</v>
      </c>
      <c r="AD390" s="14">
        <f t="shared" si="192"/>
        <v>1.0000021422450729</v>
      </c>
    </row>
    <row r="391" spans="1:30" x14ac:dyDescent="0.25">
      <c r="A391" s="7">
        <v>384</v>
      </c>
      <c r="B391" s="9"/>
      <c r="C391" s="9">
        <v>6330</v>
      </c>
      <c r="D391" s="9">
        <v>5344</v>
      </c>
      <c r="E391" s="9"/>
      <c r="F391" s="13" t="s">
        <v>248</v>
      </c>
      <c r="G391" s="13"/>
      <c r="K391" s="89">
        <f t="shared" si="219"/>
        <v>0</v>
      </c>
      <c r="M391" s="14">
        <f t="shared" si="223"/>
        <v>0</v>
      </c>
      <c r="R391" s="89">
        <f t="shared" si="220"/>
        <v>0</v>
      </c>
      <c r="T391" s="14">
        <f t="shared" si="203"/>
        <v>0</v>
      </c>
      <c r="V391" s="89">
        <f t="shared" si="221"/>
        <v>0</v>
      </c>
      <c r="X391" s="14">
        <f t="shared" si="198"/>
        <v>0</v>
      </c>
      <c r="AB391" s="89">
        <f t="shared" si="222"/>
        <v>0</v>
      </c>
      <c r="AC391" s="90">
        <v>43766570.759999998</v>
      </c>
      <c r="AD391" s="14">
        <f t="shared" si="192"/>
        <v>0</v>
      </c>
    </row>
    <row r="392" spans="1:30" x14ac:dyDescent="0.25">
      <c r="A392" s="7">
        <v>385</v>
      </c>
      <c r="B392" s="9"/>
      <c r="C392" s="9">
        <v>6330</v>
      </c>
      <c r="D392" s="9">
        <v>5345</v>
      </c>
      <c r="E392" s="9"/>
      <c r="F392" s="13" t="s">
        <v>249</v>
      </c>
      <c r="G392" s="13"/>
      <c r="H392" s="87">
        <v>400000</v>
      </c>
      <c r="K392" s="89">
        <f t="shared" si="219"/>
        <v>400000</v>
      </c>
      <c r="M392" s="14">
        <f t="shared" si="223"/>
        <v>0</v>
      </c>
      <c r="R392" s="89">
        <f t="shared" si="220"/>
        <v>400000</v>
      </c>
      <c r="S392" s="90">
        <v>55602</v>
      </c>
      <c r="T392" s="14">
        <f t="shared" si="203"/>
        <v>0.13900499999999999</v>
      </c>
      <c r="V392" s="89">
        <f t="shared" si="221"/>
        <v>400000</v>
      </c>
      <c r="W392" s="90">
        <v>144400</v>
      </c>
      <c r="X392" s="14">
        <f t="shared" si="198"/>
        <v>0.36099999999999999</v>
      </c>
      <c r="AB392" s="89">
        <f t="shared" si="222"/>
        <v>400000</v>
      </c>
      <c r="AC392" s="90">
        <v>279123</v>
      </c>
      <c r="AD392" s="14">
        <f t="shared" si="192"/>
        <v>0.69780750000000002</v>
      </c>
    </row>
    <row r="393" spans="1:30" x14ac:dyDescent="0.25">
      <c r="A393" s="7">
        <v>386</v>
      </c>
      <c r="B393" s="9"/>
      <c r="C393" s="9"/>
      <c r="D393" s="9">
        <v>8115</v>
      </c>
      <c r="E393" s="9"/>
      <c r="F393" s="13" t="s">
        <v>247</v>
      </c>
      <c r="G393" s="13"/>
      <c r="K393" s="89">
        <f t="shared" si="219"/>
        <v>0</v>
      </c>
      <c r="M393" s="14">
        <f t="shared" si="223"/>
        <v>0</v>
      </c>
      <c r="R393" s="89">
        <f t="shared" si="220"/>
        <v>0</v>
      </c>
      <c r="T393" s="14">
        <f t="shared" si="203"/>
        <v>0</v>
      </c>
      <c r="V393" s="89">
        <f t="shared" si="221"/>
        <v>0</v>
      </c>
      <c r="X393" s="14">
        <f t="shared" si="198"/>
        <v>0</v>
      </c>
      <c r="AB393" s="89">
        <f t="shared" ref="AB393" si="224">N393+O393+P393+T393+U393+V393+W393+AA393</f>
        <v>0</v>
      </c>
      <c r="AD393" s="14">
        <f t="shared" ref="AD393:AD455" si="225">IF($AB393=0,0,AC393/$AB393)</f>
        <v>0</v>
      </c>
    </row>
    <row r="394" spans="1:30" ht="13.8" thickBot="1" x14ac:dyDescent="0.3">
      <c r="A394" s="7">
        <v>387</v>
      </c>
      <c r="B394" s="9"/>
      <c r="C394" s="16" t="s">
        <v>250</v>
      </c>
      <c r="D394" s="16"/>
      <c r="E394" s="16"/>
      <c r="F394" s="17"/>
      <c r="G394" s="17"/>
      <c r="H394" s="65">
        <f>SUM(H386:H392)</f>
        <v>4049400</v>
      </c>
      <c r="I394" s="78">
        <f>SUM(I386:I392)</f>
        <v>-274000</v>
      </c>
      <c r="J394" s="78">
        <f>SUM(J386:J392)</f>
        <v>400000</v>
      </c>
      <c r="K394" s="18">
        <f>SUM(K386:K392)</f>
        <v>4175400</v>
      </c>
      <c r="L394" s="101">
        <f>SUM(L386:L392)</f>
        <v>0</v>
      </c>
      <c r="M394" s="14">
        <f t="shared" si="223"/>
        <v>0</v>
      </c>
      <c r="N394" s="78">
        <f t="shared" ref="N394:S394" si="226">SUM(N386:N392)</f>
        <v>95000</v>
      </c>
      <c r="O394" s="78">
        <f t="shared" si="226"/>
        <v>-70000</v>
      </c>
      <c r="P394" s="78">
        <f t="shared" si="226"/>
        <v>1740100</v>
      </c>
      <c r="Q394" s="78">
        <f t="shared" si="226"/>
        <v>3663000</v>
      </c>
      <c r="R394" s="18">
        <f t="shared" si="226"/>
        <v>9603500</v>
      </c>
      <c r="S394" s="101">
        <f t="shared" si="226"/>
        <v>128438.7</v>
      </c>
      <c r="T394" s="112">
        <f t="shared" si="203"/>
        <v>1.3374155255896287E-2</v>
      </c>
      <c r="U394" s="78">
        <f t="shared" ref="U394:W394" si="227">SUM(U386:U392)</f>
        <v>-456100</v>
      </c>
      <c r="V394" s="18">
        <f t="shared" si="227"/>
        <v>9147400</v>
      </c>
      <c r="W394" s="101">
        <f t="shared" si="227"/>
        <v>2980318.06</v>
      </c>
      <c r="X394" s="112">
        <f t="shared" si="198"/>
        <v>0.32581040076961759</v>
      </c>
      <c r="Y394" s="78">
        <f t="shared" ref="Y394:AC394" si="228">SUM(Y386:Y392)</f>
        <v>-103000</v>
      </c>
      <c r="Z394" s="78">
        <f t="shared" si="228"/>
        <v>-3092700</v>
      </c>
      <c r="AA394" s="78">
        <f t="shared" si="228"/>
        <v>231800</v>
      </c>
      <c r="AB394" s="18">
        <f t="shared" si="228"/>
        <v>6183500</v>
      </c>
      <c r="AC394" s="101">
        <f t="shared" si="228"/>
        <v>47065041.82</v>
      </c>
      <c r="AD394" s="112">
        <f t="shared" si="225"/>
        <v>7.6113919010269262</v>
      </c>
    </row>
    <row r="395" spans="1:30" ht="13.8" thickTop="1" x14ac:dyDescent="0.25">
      <c r="A395" s="7">
        <v>388</v>
      </c>
      <c r="B395" s="9"/>
      <c r="C395" s="9"/>
      <c r="D395" s="9"/>
      <c r="E395" s="9"/>
      <c r="F395" s="13"/>
      <c r="G395" s="13"/>
      <c r="H395" s="73"/>
      <c r="I395" s="59"/>
      <c r="J395" s="59"/>
      <c r="K395" s="15"/>
      <c r="M395" s="14">
        <f t="shared" si="223"/>
        <v>0</v>
      </c>
      <c r="N395" s="59"/>
      <c r="O395" s="59"/>
      <c r="P395" s="59"/>
      <c r="Q395" s="59"/>
      <c r="R395" s="15"/>
      <c r="T395" s="14">
        <f t="shared" si="203"/>
        <v>0</v>
      </c>
      <c r="U395" s="59"/>
      <c r="V395" s="15"/>
      <c r="X395" s="14">
        <f t="shared" si="198"/>
        <v>0</v>
      </c>
      <c r="Y395" s="59"/>
      <c r="Z395" s="59"/>
      <c r="AA395" s="59"/>
      <c r="AB395" s="15"/>
      <c r="AD395" s="14">
        <f t="shared" si="225"/>
        <v>0</v>
      </c>
    </row>
    <row r="396" spans="1:30" x14ac:dyDescent="0.25">
      <c r="A396" s="7">
        <v>389</v>
      </c>
      <c r="B396" s="27" t="s">
        <v>251</v>
      </c>
      <c r="C396" s="27"/>
      <c r="D396" s="27"/>
      <c r="E396" s="27"/>
      <c r="F396" s="39"/>
      <c r="G396" s="39"/>
      <c r="H396" s="68">
        <f>H394+H383+H316+H310+H270+H216+H192+H155+H141+H111</f>
        <v>41961300</v>
      </c>
      <c r="I396" s="56">
        <f>I394+I383+I316+I310+I270+I216+I192+I155+I141+I111</f>
        <v>78200</v>
      </c>
      <c r="J396" s="56">
        <f>J394+J383+J316+J310+J270+J216+J192+J155+J141+J111</f>
        <v>886300</v>
      </c>
      <c r="K396" s="12">
        <f>K394+K383+K316+K310+K270+K216+K192+K155+K141+K111</f>
        <v>42925800</v>
      </c>
      <c r="L396" s="104">
        <f>L394+L383+L316+L310+L270+L216+L192+L155+L141+L111</f>
        <v>5666116.3699999992</v>
      </c>
      <c r="M396" s="14">
        <f t="shared" si="223"/>
        <v>0.13199792129674925</v>
      </c>
      <c r="N396" s="56">
        <f t="shared" ref="N396:S396" si="229">N394+N383+N316+N310+N270+N216+N192+N155+N141+N111</f>
        <v>1479000</v>
      </c>
      <c r="O396" s="56">
        <f t="shared" si="229"/>
        <v>1648000</v>
      </c>
      <c r="P396" s="56">
        <f t="shared" si="229"/>
        <v>1722100</v>
      </c>
      <c r="Q396" s="56">
        <f t="shared" si="229"/>
        <v>3663000</v>
      </c>
      <c r="R396" s="12">
        <f t="shared" si="229"/>
        <v>51455900</v>
      </c>
      <c r="S396" s="104">
        <f t="shared" si="229"/>
        <v>14072954.520000001</v>
      </c>
      <c r="T396" s="14">
        <f t="shared" si="203"/>
        <v>0.27349544989010011</v>
      </c>
      <c r="U396" s="56">
        <f t="shared" ref="U396:W396" si="230">U394+U383+U316+U310+U270+U216+U192+U155+U141+U111</f>
        <v>3917900</v>
      </c>
      <c r="V396" s="12">
        <f t="shared" si="230"/>
        <v>55373800</v>
      </c>
      <c r="W396" s="104">
        <f t="shared" si="230"/>
        <v>24744230.020000003</v>
      </c>
      <c r="X396" s="14">
        <f t="shared" si="198"/>
        <v>0.44685808125864585</v>
      </c>
      <c r="Y396" s="56">
        <f t="shared" ref="Y396:AC396" si="231">Y394+Y383+Y316+Y310+Y270+Y216+Y192+Y155+Y141+Y111</f>
        <v>0</v>
      </c>
      <c r="Z396" s="56">
        <f t="shared" si="231"/>
        <v>-2978700</v>
      </c>
      <c r="AA396" s="56">
        <f t="shared" si="231"/>
        <v>296400</v>
      </c>
      <c r="AB396" s="12">
        <f t="shared" si="231"/>
        <v>52691500</v>
      </c>
      <c r="AC396" s="104">
        <f t="shared" si="231"/>
        <v>84935671.789999992</v>
      </c>
      <c r="AD396" s="14">
        <f t="shared" si="225"/>
        <v>1.6119425673970182</v>
      </c>
    </row>
    <row r="397" spans="1:30" x14ac:dyDescent="0.25">
      <c r="A397" s="7">
        <v>390</v>
      </c>
      <c r="B397" s="27"/>
      <c r="C397" s="27"/>
      <c r="D397" s="27"/>
      <c r="E397" s="27"/>
      <c r="F397" s="39"/>
      <c r="G397" s="39"/>
      <c r="M397" s="14">
        <f t="shared" si="223"/>
        <v>0</v>
      </c>
      <c r="T397" s="14">
        <f t="shared" si="203"/>
        <v>0</v>
      </c>
      <c r="X397" s="14">
        <f t="shared" si="198"/>
        <v>0</v>
      </c>
      <c r="AD397" s="14">
        <f t="shared" si="225"/>
        <v>0</v>
      </c>
    </row>
    <row r="398" spans="1:30" x14ac:dyDescent="0.25">
      <c r="A398" s="7">
        <v>391</v>
      </c>
      <c r="B398" s="9"/>
      <c r="C398" s="9"/>
      <c r="D398" s="9"/>
      <c r="E398" s="9"/>
      <c r="F398" s="13"/>
      <c r="G398" s="13"/>
      <c r="M398" s="14">
        <f t="shared" si="223"/>
        <v>0</v>
      </c>
      <c r="T398" s="14">
        <f t="shared" si="203"/>
        <v>0</v>
      </c>
      <c r="X398" s="14">
        <f t="shared" ref="X398:X455" si="232">IF($V398=0,0,W398/$V398)</f>
        <v>0</v>
      </c>
      <c r="AD398" s="14">
        <f t="shared" si="225"/>
        <v>0</v>
      </c>
    </row>
    <row r="399" spans="1:30" x14ac:dyDescent="0.25">
      <c r="A399" s="7">
        <v>392</v>
      </c>
      <c r="B399" s="27" t="s">
        <v>252</v>
      </c>
      <c r="C399" s="27"/>
      <c r="D399" s="27"/>
      <c r="E399" s="40"/>
      <c r="F399" s="39"/>
      <c r="G399" s="39"/>
      <c r="M399" s="14">
        <f t="shared" si="223"/>
        <v>0</v>
      </c>
      <c r="T399" s="14">
        <f t="shared" si="203"/>
        <v>0</v>
      </c>
      <c r="X399" s="14">
        <f t="shared" si="232"/>
        <v>0</v>
      </c>
      <c r="AD399" s="14">
        <f t="shared" si="225"/>
        <v>0</v>
      </c>
    </row>
    <row r="400" spans="1:30" x14ac:dyDescent="0.25">
      <c r="A400" s="7">
        <v>393</v>
      </c>
      <c r="B400" s="9" t="s">
        <v>60</v>
      </c>
      <c r="C400" s="9"/>
      <c r="D400" s="9"/>
      <c r="E400" s="9"/>
      <c r="F400" s="13"/>
      <c r="G400" s="13"/>
      <c r="M400" s="14">
        <f t="shared" si="223"/>
        <v>0</v>
      </c>
      <c r="T400" s="14">
        <f t="shared" si="203"/>
        <v>0</v>
      </c>
      <c r="X400" s="14">
        <f t="shared" si="232"/>
        <v>0</v>
      </c>
      <c r="AD400" s="14">
        <f t="shared" si="225"/>
        <v>0</v>
      </c>
    </row>
    <row r="401" spans="1:31" x14ac:dyDescent="0.25">
      <c r="A401" s="7">
        <v>394</v>
      </c>
      <c r="B401" s="9"/>
      <c r="C401" s="9">
        <v>3636</v>
      </c>
      <c r="D401" s="9">
        <v>6122</v>
      </c>
      <c r="E401" s="9"/>
      <c r="F401" s="34" t="s">
        <v>253</v>
      </c>
      <c r="G401" s="38"/>
      <c r="M401" s="14">
        <f t="shared" si="223"/>
        <v>0</v>
      </c>
      <c r="R401" s="89">
        <f t="shared" ref="R401:R402" si="233">H401+I401+J401+N401+O401+P401+Q401</f>
        <v>0</v>
      </c>
      <c r="T401" s="14">
        <f t="shared" si="203"/>
        <v>0</v>
      </c>
      <c r="V401" s="89">
        <f t="shared" ref="V401:V402" si="234">H401+I401+J401+N401+O401+P401+Q401+U401</f>
        <v>0</v>
      </c>
      <c r="X401" s="14">
        <f t="shared" si="232"/>
        <v>0</v>
      </c>
      <c r="AB401" s="89">
        <f t="shared" ref="AB401:AB402" si="235">H401+I401+J401+N401+O401+P401+Q401+U401+Y401+Z401+AA401</f>
        <v>0</v>
      </c>
      <c r="AD401" s="14">
        <f t="shared" si="225"/>
        <v>0</v>
      </c>
    </row>
    <row r="402" spans="1:31" x14ac:dyDescent="0.25">
      <c r="A402" s="7">
        <v>395</v>
      </c>
      <c r="B402" s="9"/>
      <c r="C402" s="9">
        <v>3636</v>
      </c>
      <c r="D402" s="9">
        <v>6130</v>
      </c>
      <c r="E402" s="9"/>
      <c r="F402" s="34" t="s">
        <v>254</v>
      </c>
      <c r="G402" s="38" t="s">
        <v>312</v>
      </c>
      <c r="H402" s="87">
        <v>550000</v>
      </c>
      <c r="I402" s="88">
        <v>41000</v>
      </c>
      <c r="K402" s="89">
        <f t="shared" ref="K402" si="236">H402+I402+J402</f>
        <v>591000</v>
      </c>
      <c r="L402" s="90">
        <v>4000</v>
      </c>
      <c r="M402" s="14">
        <f t="shared" si="223"/>
        <v>6.7681895093062603E-3</v>
      </c>
      <c r="R402" s="89">
        <f t="shared" si="233"/>
        <v>591000</v>
      </c>
      <c r="S402" s="90">
        <v>537000</v>
      </c>
      <c r="T402" s="14">
        <f t="shared" si="203"/>
        <v>0.90862944162436543</v>
      </c>
      <c r="V402" s="89">
        <f t="shared" si="234"/>
        <v>591000</v>
      </c>
      <c r="W402" s="90">
        <v>580000</v>
      </c>
      <c r="X402" s="14">
        <f t="shared" si="232"/>
        <v>0.9813874788494078</v>
      </c>
      <c r="AB402" s="89">
        <f t="shared" si="235"/>
        <v>591000</v>
      </c>
      <c r="AC402" s="90">
        <v>580000</v>
      </c>
      <c r="AD402" s="14">
        <f t="shared" si="225"/>
        <v>0.9813874788494078</v>
      </c>
      <c r="AE402" s="4" t="s">
        <v>371</v>
      </c>
    </row>
    <row r="403" spans="1:31" ht="13.8" thickBot="1" x14ac:dyDescent="0.3">
      <c r="A403" s="7">
        <v>396</v>
      </c>
      <c r="B403" s="9"/>
      <c r="C403" s="16" t="s">
        <v>76</v>
      </c>
      <c r="D403" s="16"/>
      <c r="E403" s="16"/>
      <c r="F403" s="17"/>
      <c r="G403" s="17"/>
      <c r="H403" s="74">
        <f>SUM(H401:H402)</f>
        <v>550000</v>
      </c>
      <c r="I403" s="83">
        <f>SUM(I401:I402)</f>
        <v>41000</v>
      </c>
      <c r="J403" s="83">
        <f>SUM(J401:J402)</f>
        <v>0</v>
      </c>
      <c r="K403" s="32">
        <f>SUM(K401:K402)</f>
        <v>591000</v>
      </c>
      <c r="L403" s="108">
        <f>SUM(L401:L402)</f>
        <v>4000</v>
      </c>
      <c r="M403" s="14">
        <f t="shared" si="223"/>
        <v>6.7681895093062603E-3</v>
      </c>
      <c r="N403" s="83">
        <f t="shared" ref="N403:S403" si="237">SUM(N401:N402)</f>
        <v>0</v>
      </c>
      <c r="O403" s="83">
        <f t="shared" si="237"/>
        <v>0</v>
      </c>
      <c r="P403" s="83">
        <f t="shared" si="237"/>
        <v>0</v>
      </c>
      <c r="Q403" s="83">
        <f t="shared" si="237"/>
        <v>0</v>
      </c>
      <c r="R403" s="32">
        <f t="shared" si="237"/>
        <v>591000</v>
      </c>
      <c r="S403" s="108">
        <f t="shared" si="237"/>
        <v>537000</v>
      </c>
      <c r="T403" s="112">
        <f t="shared" ref="T403:T455" si="238">IF($R403=0,0,S403/$R403)</f>
        <v>0.90862944162436543</v>
      </c>
      <c r="U403" s="83">
        <f t="shared" ref="U403" si="239">SUM(U401:U402)</f>
        <v>0</v>
      </c>
      <c r="V403" s="32">
        <f t="shared" ref="V403" si="240">SUM(V401:V402)</f>
        <v>591000</v>
      </c>
      <c r="W403" s="108">
        <f t="shared" ref="W403" si="241">SUM(W401:W402)</f>
        <v>580000</v>
      </c>
      <c r="X403" s="112">
        <f t="shared" si="232"/>
        <v>0.9813874788494078</v>
      </c>
      <c r="Y403" s="83">
        <f t="shared" ref="Y403:AC403" si="242">SUM(Y401:Y402)</f>
        <v>0</v>
      </c>
      <c r="Z403" s="83">
        <f t="shared" si="242"/>
        <v>0</v>
      </c>
      <c r="AA403" s="83">
        <f t="shared" si="242"/>
        <v>0</v>
      </c>
      <c r="AB403" s="32">
        <f t="shared" si="242"/>
        <v>591000</v>
      </c>
      <c r="AC403" s="108">
        <f t="shared" si="242"/>
        <v>580000</v>
      </c>
      <c r="AD403" s="112">
        <f t="shared" si="225"/>
        <v>0.9813874788494078</v>
      </c>
    </row>
    <row r="404" spans="1:31" ht="13.8" thickTop="1" x14ac:dyDescent="0.25">
      <c r="A404" s="7">
        <v>397</v>
      </c>
      <c r="B404" s="9"/>
      <c r="C404" s="9"/>
      <c r="D404" s="9"/>
      <c r="E404" s="9"/>
      <c r="F404" s="13"/>
      <c r="G404" s="13"/>
      <c r="M404" s="14">
        <f t="shared" si="223"/>
        <v>0</v>
      </c>
      <c r="T404" s="14">
        <f t="shared" si="238"/>
        <v>0</v>
      </c>
      <c r="X404" s="14">
        <f t="shared" si="232"/>
        <v>0</v>
      </c>
      <c r="AD404" s="14">
        <f t="shared" si="225"/>
        <v>0</v>
      </c>
    </row>
    <row r="405" spans="1:31" x14ac:dyDescent="0.25">
      <c r="A405" s="7">
        <v>398</v>
      </c>
      <c r="B405" s="9" t="s">
        <v>77</v>
      </c>
      <c r="C405" s="9"/>
      <c r="D405" s="9"/>
      <c r="E405" s="9"/>
      <c r="F405" s="13"/>
      <c r="G405" s="13"/>
      <c r="M405" s="14">
        <f t="shared" si="223"/>
        <v>0</v>
      </c>
      <c r="T405" s="14">
        <f t="shared" si="238"/>
        <v>0</v>
      </c>
      <c r="X405" s="14">
        <f t="shared" si="232"/>
        <v>0</v>
      </c>
      <c r="AD405" s="14">
        <f t="shared" si="225"/>
        <v>0</v>
      </c>
    </row>
    <row r="406" spans="1:31" x14ac:dyDescent="0.25">
      <c r="A406" s="7">
        <v>399</v>
      </c>
      <c r="B406" s="9"/>
      <c r="C406" s="9"/>
      <c r="D406" s="9"/>
      <c r="E406" s="9"/>
      <c r="F406" s="13" t="s">
        <v>300</v>
      </c>
      <c r="G406" s="13"/>
      <c r="H406" s="87">
        <v>350000</v>
      </c>
      <c r="K406" s="89">
        <f t="shared" ref="K406:K407" si="243">H406+I406+J406</f>
        <v>350000</v>
      </c>
      <c r="M406" s="14">
        <f t="shared" si="223"/>
        <v>0</v>
      </c>
      <c r="R406" s="89">
        <f t="shared" ref="R406:R407" si="244">H406+I406+J406+N406+O406+P406+Q406</f>
        <v>350000</v>
      </c>
      <c r="T406" s="14">
        <f t="shared" si="238"/>
        <v>0</v>
      </c>
      <c r="V406" s="89">
        <f t="shared" ref="V406:V407" si="245">H406+I406+J406+N406+O406+P406+Q406+U406</f>
        <v>350000</v>
      </c>
      <c r="X406" s="14">
        <f t="shared" si="232"/>
        <v>0</v>
      </c>
      <c r="AB406" s="89">
        <f t="shared" ref="AB406:AB407" si="246">H406+I406+J406+N406+O406+P406+Q406+U406+Y406+Z406+AA406</f>
        <v>350000</v>
      </c>
      <c r="AD406" s="14">
        <f t="shared" si="225"/>
        <v>0</v>
      </c>
    </row>
    <row r="407" spans="1:31" x14ac:dyDescent="0.25">
      <c r="A407" s="7">
        <v>400</v>
      </c>
      <c r="B407" s="9"/>
      <c r="C407" s="9">
        <v>3723</v>
      </c>
      <c r="D407" s="9">
        <v>6121</v>
      </c>
      <c r="E407" s="9"/>
      <c r="F407" s="13" t="s">
        <v>255</v>
      </c>
      <c r="G407" s="38" t="s">
        <v>168</v>
      </c>
      <c r="H407" s="87">
        <v>100000</v>
      </c>
      <c r="K407" s="89">
        <f t="shared" si="243"/>
        <v>100000</v>
      </c>
      <c r="M407" s="14">
        <f t="shared" si="223"/>
        <v>0</v>
      </c>
      <c r="R407" s="89">
        <f t="shared" si="244"/>
        <v>100000</v>
      </c>
      <c r="T407" s="14">
        <f t="shared" si="238"/>
        <v>0</v>
      </c>
      <c r="V407" s="89">
        <f t="shared" si="245"/>
        <v>100000</v>
      </c>
      <c r="X407" s="14">
        <f t="shared" si="232"/>
        <v>0</v>
      </c>
      <c r="Z407" s="88">
        <v>-40000</v>
      </c>
      <c r="AB407" s="89">
        <f t="shared" si="246"/>
        <v>60000</v>
      </c>
      <c r="AC407" s="90">
        <v>59701.4</v>
      </c>
      <c r="AD407" s="14">
        <f t="shared" si="225"/>
        <v>0.99502333333333337</v>
      </c>
      <c r="AE407" s="4" t="s">
        <v>371</v>
      </c>
    </row>
    <row r="408" spans="1:31" ht="13.8" thickBot="1" x14ac:dyDescent="0.3">
      <c r="A408" s="7">
        <v>401</v>
      </c>
      <c r="B408" s="9"/>
      <c r="C408" s="16" t="s">
        <v>97</v>
      </c>
      <c r="D408" s="16"/>
      <c r="E408" s="16"/>
      <c r="F408" s="17"/>
      <c r="G408" s="17"/>
      <c r="H408" s="74">
        <f>SUM(H405:H407)</f>
        <v>450000</v>
      </c>
      <c r="I408" s="83">
        <f>SUM(I405:I407)</f>
        <v>0</v>
      </c>
      <c r="J408" s="83">
        <f>SUM(J405:J407)</f>
        <v>0</v>
      </c>
      <c r="K408" s="32">
        <f>SUM(K405:K407)</f>
        <v>450000</v>
      </c>
      <c r="L408" s="108">
        <f>SUM(L405:L407)</f>
        <v>0</v>
      </c>
      <c r="M408" s="14">
        <f t="shared" si="223"/>
        <v>0</v>
      </c>
      <c r="N408" s="83">
        <f t="shared" ref="N408:S408" si="247">SUM(N405:N407)</f>
        <v>0</v>
      </c>
      <c r="O408" s="83">
        <f t="shared" si="247"/>
        <v>0</v>
      </c>
      <c r="P408" s="83">
        <f t="shared" si="247"/>
        <v>0</v>
      </c>
      <c r="Q408" s="83">
        <f t="shared" si="247"/>
        <v>0</v>
      </c>
      <c r="R408" s="32">
        <f t="shared" si="247"/>
        <v>450000</v>
      </c>
      <c r="S408" s="108">
        <f t="shared" si="247"/>
        <v>0</v>
      </c>
      <c r="T408" s="112">
        <f t="shared" si="238"/>
        <v>0</v>
      </c>
      <c r="U408" s="83">
        <f t="shared" ref="U408" si="248">SUM(U405:U407)</f>
        <v>0</v>
      </c>
      <c r="V408" s="32">
        <f t="shared" ref="V408" si="249">SUM(V405:V407)</f>
        <v>450000</v>
      </c>
      <c r="W408" s="108">
        <f t="shared" ref="W408" si="250">SUM(W405:W407)</f>
        <v>0</v>
      </c>
      <c r="X408" s="112">
        <f t="shared" si="232"/>
        <v>0</v>
      </c>
      <c r="Y408" s="83">
        <f t="shared" ref="Y408:AC408" si="251">SUM(Y405:Y407)</f>
        <v>0</v>
      </c>
      <c r="Z408" s="83">
        <f t="shared" si="251"/>
        <v>-40000</v>
      </c>
      <c r="AA408" s="83">
        <f t="shared" si="251"/>
        <v>0</v>
      </c>
      <c r="AB408" s="32">
        <f t="shared" si="251"/>
        <v>410000</v>
      </c>
      <c r="AC408" s="108">
        <f t="shared" si="251"/>
        <v>59701.4</v>
      </c>
      <c r="AD408" s="112">
        <f t="shared" si="225"/>
        <v>0.14561317073170732</v>
      </c>
    </row>
    <row r="409" spans="1:31" ht="13.8" thickTop="1" x14ac:dyDescent="0.25">
      <c r="A409" s="7">
        <v>402</v>
      </c>
      <c r="B409" s="9"/>
      <c r="C409" s="9"/>
      <c r="D409" s="9"/>
      <c r="E409" s="9"/>
      <c r="F409" s="13"/>
      <c r="G409" s="13"/>
      <c r="M409" s="14">
        <f t="shared" si="223"/>
        <v>0</v>
      </c>
      <c r="T409" s="14">
        <f t="shared" si="238"/>
        <v>0</v>
      </c>
      <c r="X409" s="14">
        <f t="shared" si="232"/>
        <v>0</v>
      </c>
      <c r="AD409" s="14">
        <f t="shared" si="225"/>
        <v>0</v>
      </c>
    </row>
    <row r="410" spans="1:31" x14ac:dyDescent="0.25">
      <c r="A410" s="7">
        <v>403</v>
      </c>
      <c r="B410" s="9" t="s">
        <v>98</v>
      </c>
      <c r="C410" s="9"/>
      <c r="D410" s="9"/>
      <c r="E410" s="9"/>
      <c r="F410" s="13"/>
      <c r="G410" s="13"/>
      <c r="M410" s="14">
        <f t="shared" si="223"/>
        <v>0</v>
      </c>
      <c r="T410" s="14">
        <f t="shared" si="238"/>
        <v>0</v>
      </c>
      <c r="X410" s="14">
        <f t="shared" si="232"/>
        <v>0</v>
      </c>
      <c r="AD410" s="14">
        <f t="shared" si="225"/>
        <v>0</v>
      </c>
    </row>
    <row r="411" spans="1:31" x14ac:dyDescent="0.25">
      <c r="A411" s="7">
        <v>404</v>
      </c>
      <c r="B411" s="9"/>
      <c r="C411" s="9"/>
      <c r="D411" s="9"/>
      <c r="E411" s="9"/>
      <c r="F411" s="13"/>
      <c r="G411" s="13"/>
      <c r="M411" s="14">
        <f t="shared" si="223"/>
        <v>0</v>
      </c>
      <c r="T411" s="14">
        <f t="shared" si="238"/>
        <v>0</v>
      </c>
      <c r="X411" s="14">
        <f t="shared" si="232"/>
        <v>0</v>
      </c>
      <c r="AD411" s="14">
        <f t="shared" si="225"/>
        <v>0</v>
      </c>
    </row>
    <row r="412" spans="1:31" x14ac:dyDescent="0.25">
      <c r="A412" s="7">
        <v>405</v>
      </c>
      <c r="B412" s="9"/>
      <c r="C412" s="9">
        <v>2219</v>
      </c>
      <c r="D412" s="9">
        <v>6121</v>
      </c>
      <c r="E412" s="9"/>
      <c r="F412" s="13" t="s">
        <v>256</v>
      </c>
      <c r="G412" s="38"/>
      <c r="H412" s="87">
        <v>0</v>
      </c>
      <c r="I412" s="88">
        <v>0</v>
      </c>
      <c r="J412" s="88">
        <v>0</v>
      </c>
      <c r="K412" s="89">
        <f t="shared" ref="K412" si="252">H412+I412+J412</f>
        <v>0</v>
      </c>
      <c r="L412" s="90">
        <v>0</v>
      </c>
      <c r="M412" s="14">
        <f t="shared" si="223"/>
        <v>0</v>
      </c>
      <c r="N412" s="88">
        <v>700000</v>
      </c>
      <c r="O412" s="88">
        <v>0</v>
      </c>
      <c r="P412" s="88">
        <v>0</v>
      </c>
      <c r="Q412" s="88">
        <v>0</v>
      </c>
      <c r="R412" s="89">
        <f t="shared" ref="R412" si="253">H412+I412+J412+N412+O412+P412+Q412</f>
        <v>700000</v>
      </c>
      <c r="S412" s="90">
        <v>0</v>
      </c>
      <c r="T412" s="14">
        <f t="shared" si="238"/>
        <v>0</v>
      </c>
      <c r="U412" s="88">
        <v>0</v>
      </c>
      <c r="V412" s="89">
        <f t="shared" ref="V412" si="254">H412+I412+J412+N412+O412+P412+Q412+U412</f>
        <v>700000</v>
      </c>
      <c r="W412" s="90">
        <v>0</v>
      </c>
      <c r="X412" s="14">
        <f t="shared" si="232"/>
        <v>0</v>
      </c>
      <c r="Y412" s="88">
        <v>0</v>
      </c>
      <c r="Z412" s="88">
        <v>0</v>
      </c>
      <c r="AA412" s="88">
        <v>0</v>
      </c>
      <c r="AB412" s="89">
        <f t="shared" ref="AB412" si="255">H412+I412+J412+N412+O412+P412+Q412+U412+Y412+Z412+AA412</f>
        <v>700000</v>
      </c>
      <c r="AC412" s="90">
        <v>101788.53</v>
      </c>
      <c r="AD412" s="14">
        <f t="shared" si="225"/>
        <v>0.14541218571428571</v>
      </c>
      <c r="AE412" s="4" t="s">
        <v>371</v>
      </c>
    </row>
    <row r="413" spans="1:31" x14ac:dyDescent="0.25">
      <c r="A413" s="7">
        <v>406</v>
      </c>
      <c r="B413" s="9"/>
      <c r="C413" s="9"/>
      <c r="D413" s="9"/>
      <c r="E413" s="9"/>
      <c r="F413" s="13"/>
      <c r="G413" s="13"/>
      <c r="M413" s="14"/>
      <c r="T413" s="14">
        <f t="shared" si="238"/>
        <v>0</v>
      </c>
      <c r="X413" s="14">
        <f t="shared" si="232"/>
        <v>0</v>
      </c>
      <c r="AD413" s="14">
        <f t="shared" si="225"/>
        <v>0</v>
      </c>
    </row>
    <row r="414" spans="1:31" ht="13.8" thickBot="1" x14ac:dyDescent="0.3">
      <c r="A414" s="7">
        <v>407</v>
      </c>
      <c r="B414" s="9"/>
      <c r="C414" s="16" t="s">
        <v>105</v>
      </c>
      <c r="D414" s="16"/>
      <c r="E414" s="16"/>
      <c r="F414" s="17"/>
      <c r="G414" s="17"/>
      <c r="H414" s="74">
        <f>SUM(H412:H413)</f>
        <v>0</v>
      </c>
      <c r="I414" s="83">
        <f>SUM(I412:I413)</f>
        <v>0</v>
      </c>
      <c r="J414" s="83">
        <f>SUM(J412:J413)</f>
        <v>0</v>
      </c>
      <c r="K414" s="32">
        <f>SUM(K412:K413)</f>
        <v>0</v>
      </c>
      <c r="L414" s="108">
        <f>SUM(L412:L413)</f>
        <v>0</v>
      </c>
      <c r="M414" s="14">
        <f t="shared" si="223"/>
        <v>0</v>
      </c>
      <c r="N414" s="83">
        <f t="shared" ref="N414:S414" si="256">SUM(N412:N413)</f>
        <v>700000</v>
      </c>
      <c r="O414" s="83">
        <f t="shared" si="256"/>
        <v>0</v>
      </c>
      <c r="P414" s="83">
        <f t="shared" si="256"/>
        <v>0</v>
      </c>
      <c r="Q414" s="83">
        <f t="shared" si="256"/>
        <v>0</v>
      </c>
      <c r="R414" s="32">
        <f t="shared" si="256"/>
        <v>700000</v>
      </c>
      <c r="S414" s="108">
        <f t="shared" si="256"/>
        <v>0</v>
      </c>
      <c r="T414" s="112">
        <f t="shared" si="238"/>
        <v>0</v>
      </c>
      <c r="U414" s="83">
        <f t="shared" ref="U414" si="257">SUM(U412:U413)</f>
        <v>0</v>
      </c>
      <c r="V414" s="32">
        <f t="shared" ref="V414" si="258">SUM(V412:V413)</f>
        <v>700000</v>
      </c>
      <c r="W414" s="108">
        <f t="shared" ref="W414" si="259">SUM(W412:W413)</f>
        <v>0</v>
      </c>
      <c r="X414" s="112">
        <f t="shared" si="232"/>
        <v>0</v>
      </c>
      <c r="Y414" s="83">
        <f t="shared" ref="Y414:AC414" si="260">SUM(Y412:Y413)</f>
        <v>0</v>
      </c>
      <c r="Z414" s="83">
        <f t="shared" si="260"/>
        <v>0</v>
      </c>
      <c r="AA414" s="83">
        <f t="shared" si="260"/>
        <v>0</v>
      </c>
      <c r="AB414" s="32">
        <f t="shared" si="260"/>
        <v>700000</v>
      </c>
      <c r="AC414" s="108">
        <f t="shared" si="260"/>
        <v>101788.53</v>
      </c>
      <c r="AD414" s="112">
        <f t="shared" si="225"/>
        <v>0.14541218571428571</v>
      </c>
    </row>
    <row r="415" spans="1:31" ht="13.8" thickTop="1" x14ac:dyDescent="0.25">
      <c r="A415" s="7">
        <v>408</v>
      </c>
      <c r="B415" s="9"/>
      <c r="C415" s="9"/>
      <c r="D415" s="9"/>
      <c r="E415" s="9"/>
      <c r="F415" s="13"/>
      <c r="G415" s="13"/>
      <c r="M415" s="14">
        <f t="shared" si="223"/>
        <v>0</v>
      </c>
      <c r="T415" s="14">
        <f t="shared" si="238"/>
        <v>0</v>
      </c>
      <c r="X415" s="14">
        <f t="shared" si="232"/>
        <v>0</v>
      </c>
      <c r="AD415" s="14">
        <f t="shared" si="225"/>
        <v>0</v>
      </c>
    </row>
    <row r="416" spans="1:31" x14ac:dyDescent="0.25">
      <c r="A416" s="7">
        <v>409</v>
      </c>
      <c r="B416" s="9" t="s">
        <v>106</v>
      </c>
      <c r="C416" s="9"/>
      <c r="D416" s="9"/>
      <c r="E416" s="9"/>
      <c r="F416" s="13"/>
      <c r="G416" s="13"/>
      <c r="M416" s="14">
        <f t="shared" si="223"/>
        <v>0</v>
      </c>
      <c r="T416" s="14">
        <f t="shared" si="238"/>
        <v>0</v>
      </c>
      <c r="X416" s="14">
        <f t="shared" si="232"/>
        <v>0</v>
      </c>
      <c r="AD416" s="14">
        <f t="shared" si="225"/>
        <v>0</v>
      </c>
    </row>
    <row r="417" spans="1:31" x14ac:dyDescent="0.25">
      <c r="A417" s="7">
        <v>410</v>
      </c>
      <c r="B417" s="9"/>
      <c r="C417" s="9">
        <v>3113</v>
      </c>
      <c r="D417" s="9">
        <v>6121</v>
      </c>
      <c r="E417" s="9"/>
      <c r="F417" s="13" t="s">
        <v>257</v>
      </c>
      <c r="G417" s="38"/>
      <c r="H417" s="87">
        <v>350000</v>
      </c>
      <c r="K417" s="89">
        <f t="shared" ref="K417" si="261">H417+I417+J417</f>
        <v>350000</v>
      </c>
      <c r="L417" s="90">
        <v>160930</v>
      </c>
      <c r="M417" s="14">
        <f t="shared" si="223"/>
        <v>0.45979999999999999</v>
      </c>
      <c r="N417" s="88">
        <f>6000000+13013900</f>
        <v>19013900</v>
      </c>
      <c r="R417" s="89">
        <f t="shared" ref="R417:R418" si="262">H417+I417+J417+N417+O417+P417+Q417</f>
        <v>19363900</v>
      </c>
      <c r="S417" s="90">
        <v>160930</v>
      </c>
      <c r="T417" s="14">
        <f t="shared" si="238"/>
        <v>8.3108258150475893E-3</v>
      </c>
      <c r="V417" s="89">
        <f t="shared" ref="V417:V418" si="263">H417+I417+J417+N417+O417+P417+Q417+U417</f>
        <v>19363900</v>
      </c>
      <c r="W417" s="90">
        <v>160930</v>
      </c>
      <c r="X417" s="14">
        <f t="shared" si="232"/>
        <v>8.3108258150475893E-3</v>
      </c>
      <c r="AB417" s="89">
        <f t="shared" ref="AB417:AB418" si="264">H417+I417+J417+N417+O417+P417+Q417+U417+Y417+Z417+AA417</f>
        <v>19363900</v>
      </c>
      <c r="AC417" s="90">
        <v>1258209</v>
      </c>
      <c r="AD417" s="14">
        <f t="shared" si="225"/>
        <v>6.4977044913473003E-2</v>
      </c>
      <c r="AE417" s="4" t="s">
        <v>371</v>
      </c>
    </row>
    <row r="418" spans="1:31" x14ac:dyDescent="0.25">
      <c r="A418" s="7">
        <v>411</v>
      </c>
      <c r="B418" s="9"/>
      <c r="C418" s="9">
        <v>3113</v>
      </c>
      <c r="D418" s="9">
        <v>6122</v>
      </c>
      <c r="E418" s="9"/>
      <c r="F418" s="13" t="s">
        <v>258</v>
      </c>
      <c r="G418" s="13"/>
      <c r="M418" s="14">
        <f t="shared" si="223"/>
        <v>0</v>
      </c>
      <c r="R418" s="89">
        <f t="shared" si="262"/>
        <v>0</v>
      </c>
      <c r="T418" s="14">
        <f t="shared" si="238"/>
        <v>0</v>
      </c>
      <c r="V418" s="89">
        <f t="shared" si="263"/>
        <v>0</v>
      </c>
      <c r="X418" s="14">
        <f t="shared" si="232"/>
        <v>0</v>
      </c>
      <c r="AB418" s="89">
        <f t="shared" si="264"/>
        <v>0</v>
      </c>
      <c r="AD418" s="14">
        <f t="shared" si="225"/>
        <v>0</v>
      </c>
    </row>
    <row r="419" spans="1:31" ht="13.8" thickBot="1" x14ac:dyDescent="0.3">
      <c r="A419" s="7">
        <v>412</v>
      </c>
      <c r="B419" s="9"/>
      <c r="C419" s="16" t="s">
        <v>132</v>
      </c>
      <c r="D419" s="16"/>
      <c r="E419" s="16"/>
      <c r="F419" s="17"/>
      <c r="G419" s="17"/>
      <c r="H419" s="74">
        <f>SUM(H417:H418)</f>
        <v>350000</v>
      </c>
      <c r="I419" s="83">
        <f>SUM(I417:I418)</f>
        <v>0</v>
      </c>
      <c r="J419" s="83">
        <f>SUM(J417:J418)</f>
        <v>0</v>
      </c>
      <c r="K419" s="32">
        <f>SUM(K417:K418)</f>
        <v>350000</v>
      </c>
      <c r="L419" s="108">
        <f>SUM(L417:L418)</f>
        <v>160930</v>
      </c>
      <c r="M419" s="14">
        <f t="shared" si="223"/>
        <v>0.45979999999999999</v>
      </c>
      <c r="N419" s="83">
        <f t="shared" ref="N419:S419" si="265">SUM(N417:N418)</f>
        <v>19013900</v>
      </c>
      <c r="O419" s="83">
        <f t="shared" si="265"/>
        <v>0</v>
      </c>
      <c r="P419" s="83">
        <f t="shared" si="265"/>
        <v>0</v>
      </c>
      <c r="Q419" s="83">
        <f t="shared" si="265"/>
        <v>0</v>
      </c>
      <c r="R419" s="32">
        <f t="shared" si="265"/>
        <v>19363900</v>
      </c>
      <c r="S419" s="108">
        <f t="shared" si="265"/>
        <v>160930</v>
      </c>
      <c r="T419" s="112">
        <f t="shared" si="238"/>
        <v>8.3108258150475893E-3</v>
      </c>
      <c r="U419" s="83">
        <f t="shared" ref="U419" si="266">SUM(U417:U418)</f>
        <v>0</v>
      </c>
      <c r="V419" s="32">
        <f t="shared" ref="V419" si="267">SUM(V417:V418)</f>
        <v>19363900</v>
      </c>
      <c r="W419" s="108">
        <f t="shared" ref="W419" si="268">SUM(W417:W418)</f>
        <v>160930</v>
      </c>
      <c r="X419" s="112">
        <f t="shared" si="232"/>
        <v>8.3108258150475893E-3</v>
      </c>
      <c r="Y419" s="83">
        <f t="shared" ref="Y419:AC419" si="269">SUM(Y417:Y418)</f>
        <v>0</v>
      </c>
      <c r="Z419" s="83">
        <f t="shared" si="269"/>
        <v>0</v>
      </c>
      <c r="AA419" s="83">
        <f t="shared" si="269"/>
        <v>0</v>
      </c>
      <c r="AB419" s="32">
        <f t="shared" si="269"/>
        <v>19363900</v>
      </c>
      <c r="AC419" s="108">
        <f t="shared" si="269"/>
        <v>1258209</v>
      </c>
      <c r="AD419" s="112">
        <f t="shared" si="225"/>
        <v>6.4977044913473003E-2</v>
      </c>
    </row>
    <row r="420" spans="1:31" ht="13.8" thickTop="1" x14ac:dyDescent="0.25">
      <c r="A420" s="7">
        <v>413</v>
      </c>
      <c r="B420" s="9"/>
      <c r="C420" s="9"/>
      <c r="D420" s="9"/>
      <c r="E420" s="9"/>
      <c r="F420" s="13"/>
      <c r="G420" s="13"/>
      <c r="M420" s="14">
        <f t="shared" si="223"/>
        <v>0</v>
      </c>
      <c r="T420" s="14">
        <f t="shared" si="238"/>
        <v>0</v>
      </c>
      <c r="X420" s="14">
        <f t="shared" si="232"/>
        <v>0</v>
      </c>
      <c r="AD420" s="14">
        <f t="shared" si="225"/>
        <v>0</v>
      </c>
    </row>
    <row r="421" spans="1:31" x14ac:dyDescent="0.25">
      <c r="A421" s="7">
        <v>414</v>
      </c>
      <c r="B421" s="9" t="s">
        <v>259</v>
      </c>
      <c r="C421" s="9"/>
      <c r="D421" s="9"/>
      <c r="E421" s="9"/>
      <c r="F421" s="13"/>
      <c r="G421" s="13"/>
      <c r="M421" s="14">
        <f t="shared" si="223"/>
        <v>0</v>
      </c>
      <c r="T421" s="14">
        <f t="shared" si="238"/>
        <v>0</v>
      </c>
      <c r="X421" s="14">
        <f t="shared" si="232"/>
        <v>0</v>
      </c>
      <c r="AD421" s="14">
        <f t="shared" si="225"/>
        <v>0</v>
      </c>
    </row>
    <row r="422" spans="1:31" x14ac:dyDescent="0.25">
      <c r="A422" s="7">
        <v>415</v>
      </c>
      <c r="B422" s="9"/>
      <c r="C422" s="9">
        <v>3613</v>
      </c>
      <c r="D422" s="9">
        <v>6121</v>
      </c>
      <c r="E422" s="9"/>
      <c r="F422" s="41" t="s">
        <v>260</v>
      </c>
      <c r="G422" s="38"/>
      <c r="K422" s="89">
        <f t="shared" ref="K422:K423" si="270">H422+I422+J422</f>
        <v>0</v>
      </c>
      <c r="M422" s="14">
        <f t="shared" si="223"/>
        <v>0</v>
      </c>
      <c r="N422" s="88">
        <v>1915500</v>
      </c>
      <c r="R422" s="89">
        <f t="shared" ref="R422:R423" si="271">H422+I422+J422+N422+O422+P422+Q422</f>
        <v>1915500</v>
      </c>
      <c r="T422" s="14">
        <f t="shared" si="238"/>
        <v>0</v>
      </c>
      <c r="V422" s="89">
        <f t="shared" ref="V422:V423" si="272">H422+I422+J422+N422+O422+P422+Q422+U422</f>
        <v>1915500</v>
      </c>
      <c r="X422" s="14">
        <f t="shared" si="232"/>
        <v>0</v>
      </c>
      <c r="Z422" s="88">
        <v>-1281500</v>
      </c>
      <c r="AB422" s="89">
        <f t="shared" ref="AB422:AB423" si="273">H422+I422+J422+N422+O422+P422+Q422+U422+Y422+Z422+AA422</f>
        <v>634000</v>
      </c>
      <c r="AC422" s="90">
        <v>203524.78</v>
      </c>
      <c r="AD422" s="14">
        <f t="shared" si="225"/>
        <v>0.32101700315457415</v>
      </c>
      <c r="AE422" s="4" t="s">
        <v>371</v>
      </c>
    </row>
    <row r="423" spans="1:31" x14ac:dyDescent="0.25">
      <c r="A423" s="7">
        <v>416</v>
      </c>
      <c r="B423" s="9"/>
      <c r="C423" s="9">
        <v>3613</v>
      </c>
      <c r="D423" s="9">
        <v>6122</v>
      </c>
      <c r="E423" s="9"/>
      <c r="F423" s="41" t="s">
        <v>367</v>
      </c>
      <c r="G423" s="38"/>
      <c r="K423" s="89">
        <f t="shared" si="270"/>
        <v>0</v>
      </c>
      <c r="M423" s="14">
        <f t="shared" si="223"/>
        <v>0</v>
      </c>
      <c r="R423" s="89">
        <f t="shared" si="271"/>
        <v>0</v>
      </c>
      <c r="T423" s="14">
        <f t="shared" si="238"/>
        <v>0</v>
      </c>
      <c r="V423" s="89">
        <f t="shared" si="272"/>
        <v>0</v>
      </c>
      <c r="X423" s="14">
        <f t="shared" si="232"/>
        <v>0</v>
      </c>
      <c r="Z423" s="88">
        <v>1281500</v>
      </c>
      <c r="AB423" s="89">
        <f t="shared" si="273"/>
        <v>1281500</v>
      </c>
      <c r="AC423" s="90">
        <v>1281475.22</v>
      </c>
      <c r="AD423" s="14">
        <f t="shared" si="225"/>
        <v>0.99998066328521262</v>
      </c>
      <c r="AE423" s="4" t="s">
        <v>371</v>
      </c>
    </row>
    <row r="424" spans="1:31" ht="13.8" thickBot="1" x14ac:dyDescent="0.3">
      <c r="A424" s="7">
        <v>417</v>
      </c>
      <c r="B424" s="9"/>
      <c r="C424" s="16" t="s">
        <v>179</v>
      </c>
      <c r="D424" s="16"/>
      <c r="E424" s="16"/>
      <c r="F424" s="17"/>
      <c r="G424" s="17"/>
      <c r="H424" s="74">
        <f>SUM(H422:H423)</f>
        <v>0</v>
      </c>
      <c r="I424" s="83">
        <f>SUM(I422:I423)</f>
        <v>0</v>
      </c>
      <c r="J424" s="83">
        <f>SUM(J422:J423)</f>
        <v>0</v>
      </c>
      <c r="K424" s="32">
        <f>SUM(K422:K423)</f>
        <v>0</v>
      </c>
      <c r="L424" s="108">
        <f>SUM(L422:L423)</f>
        <v>0</v>
      </c>
      <c r="M424" s="14">
        <f t="shared" si="223"/>
        <v>0</v>
      </c>
      <c r="N424" s="83">
        <f t="shared" ref="N424:S424" si="274">SUM(N422:N423)</f>
        <v>1915500</v>
      </c>
      <c r="O424" s="83">
        <f t="shared" si="274"/>
        <v>0</v>
      </c>
      <c r="P424" s="83">
        <f t="shared" si="274"/>
        <v>0</v>
      </c>
      <c r="Q424" s="83">
        <f t="shared" si="274"/>
        <v>0</v>
      </c>
      <c r="R424" s="32">
        <f t="shared" si="274"/>
        <v>1915500</v>
      </c>
      <c r="S424" s="108">
        <f t="shared" si="274"/>
        <v>0</v>
      </c>
      <c r="T424" s="112">
        <f t="shared" si="238"/>
        <v>0</v>
      </c>
      <c r="U424" s="83">
        <f t="shared" ref="U424" si="275">SUM(U422:U423)</f>
        <v>0</v>
      </c>
      <c r="V424" s="32">
        <f t="shared" ref="V424" si="276">SUM(V422:V423)</f>
        <v>1915500</v>
      </c>
      <c r="W424" s="108">
        <f t="shared" ref="W424" si="277">SUM(W422:W423)</f>
        <v>0</v>
      </c>
      <c r="X424" s="112">
        <f t="shared" si="232"/>
        <v>0</v>
      </c>
      <c r="Y424" s="83">
        <f t="shared" ref="Y424:AC424" si="278">SUM(Y422:Y423)</f>
        <v>0</v>
      </c>
      <c r="Z424" s="83">
        <f t="shared" si="278"/>
        <v>0</v>
      </c>
      <c r="AA424" s="83">
        <f t="shared" si="278"/>
        <v>0</v>
      </c>
      <c r="AB424" s="32">
        <f t="shared" si="278"/>
        <v>1915500</v>
      </c>
      <c r="AC424" s="108">
        <f t="shared" si="278"/>
        <v>1485000</v>
      </c>
      <c r="AD424" s="112">
        <f t="shared" si="225"/>
        <v>0.77525450274079877</v>
      </c>
    </row>
    <row r="425" spans="1:31" ht="13.8" thickTop="1" x14ac:dyDescent="0.25">
      <c r="A425" s="7">
        <v>418</v>
      </c>
      <c r="B425" s="9"/>
      <c r="C425" s="9"/>
      <c r="D425" s="9"/>
      <c r="E425" s="9"/>
      <c r="F425" s="13"/>
      <c r="G425" s="13"/>
      <c r="M425" s="14">
        <f t="shared" si="223"/>
        <v>0</v>
      </c>
      <c r="T425" s="14">
        <f t="shared" si="238"/>
        <v>0</v>
      </c>
      <c r="X425" s="14">
        <f t="shared" si="232"/>
        <v>0</v>
      </c>
      <c r="AD425" s="14">
        <f t="shared" si="225"/>
        <v>0</v>
      </c>
    </row>
    <row r="426" spans="1:31" x14ac:dyDescent="0.25">
      <c r="A426" s="7">
        <v>419</v>
      </c>
      <c r="B426" s="9" t="s">
        <v>261</v>
      </c>
      <c r="C426" s="9"/>
      <c r="D426" s="9"/>
      <c r="E426" s="9"/>
      <c r="F426" s="13"/>
      <c r="G426" s="13"/>
      <c r="M426" s="14">
        <f t="shared" si="223"/>
        <v>0</v>
      </c>
      <c r="T426" s="14">
        <f t="shared" si="238"/>
        <v>0</v>
      </c>
      <c r="X426" s="14">
        <f t="shared" si="232"/>
        <v>0</v>
      </c>
      <c r="AD426" s="14">
        <f t="shared" si="225"/>
        <v>0</v>
      </c>
    </row>
    <row r="427" spans="1:31" x14ac:dyDescent="0.25">
      <c r="A427" s="7">
        <v>420</v>
      </c>
      <c r="B427" s="37"/>
      <c r="C427" s="37">
        <v>3412</v>
      </c>
      <c r="D427" s="37">
        <v>6121</v>
      </c>
      <c r="E427" s="37"/>
      <c r="F427" s="13" t="s">
        <v>262</v>
      </c>
      <c r="G427" s="13"/>
      <c r="H427" s="87">
        <v>45100</v>
      </c>
      <c r="K427" s="89">
        <f t="shared" ref="K427" si="279">H427+I427+J427</f>
        <v>45100</v>
      </c>
      <c r="M427" s="14">
        <f t="shared" si="223"/>
        <v>0</v>
      </c>
      <c r="R427" s="89">
        <f t="shared" ref="R427:R429" si="280">H427+I427+J427+N427+O427+P427+Q427</f>
        <v>45100</v>
      </c>
      <c r="T427" s="14">
        <f t="shared" si="238"/>
        <v>0</v>
      </c>
      <c r="V427" s="89">
        <f t="shared" ref="V427:V429" si="281">H427+I427+J427+N427+O427+P427+Q427+U427</f>
        <v>45100</v>
      </c>
      <c r="X427" s="14">
        <f t="shared" si="232"/>
        <v>0</v>
      </c>
      <c r="AB427" s="89">
        <f t="shared" ref="AB427:AB429" si="282">H427+I427+J427+N427+O427+P427+Q427+U427+Y427+Z427+AA427</f>
        <v>45100</v>
      </c>
      <c r="AC427" s="90">
        <v>45100</v>
      </c>
      <c r="AD427" s="14">
        <f t="shared" si="225"/>
        <v>1</v>
      </c>
      <c r="AE427" s="4" t="s">
        <v>371</v>
      </c>
    </row>
    <row r="428" spans="1:31" x14ac:dyDescent="0.25">
      <c r="A428" s="7">
        <v>421</v>
      </c>
      <c r="B428" s="37"/>
      <c r="C428" s="37"/>
      <c r="D428" s="37"/>
      <c r="E428" s="37"/>
      <c r="F428" s="13"/>
      <c r="G428" s="38"/>
      <c r="M428" s="14">
        <f t="shared" si="223"/>
        <v>0</v>
      </c>
      <c r="R428" s="89">
        <f t="shared" si="280"/>
        <v>0</v>
      </c>
      <c r="T428" s="14">
        <f t="shared" si="238"/>
        <v>0</v>
      </c>
      <c r="V428" s="89">
        <f t="shared" si="281"/>
        <v>0</v>
      </c>
      <c r="X428" s="14">
        <f t="shared" si="232"/>
        <v>0</v>
      </c>
      <c r="AB428" s="89">
        <f t="shared" si="282"/>
        <v>0</v>
      </c>
      <c r="AD428" s="14">
        <f t="shared" si="225"/>
        <v>0</v>
      </c>
    </row>
    <row r="429" spans="1:31" x14ac:dyDescent="0.25">
      <c r="A429" s="7">
        <v>422</v>
      </c>
      <c r="B429" s="9"/>
      <c r="C429" s="9">
        <v>3751</v>
      </c>
      <c r="D429" s="9">
        <v>6121</v>
      </c>
      <c r="E429" s="9"/>
      <c r="F429" s="13" t="s">
        <v>263</v>
      </c>
      <c r="G429" s="38"/>
      <c r="H429" s="87">
        <v>400000</v>
      </c>
      <c r="K429" s="89">
        <f t="shared" ref="K429" si="283">H429+I429+J429</f>
        <v>400000</v>
      </c>
      <c r="L429" s="90">
        <v>13612.5</v>
      </c>
      <c r="M429" s="14">
        <f t="shared" si="223"/>
        <v>3.4031249999999999E-2</v>
      </c>
      <c r="N429" s="88">
        <v>866800</v>
      </c>
      <c r="R429" s="89">
        <f t="shared" si="280"/>
        <v>1266800</v>
      </c>
      <c r="S429" s="90">
        <v>13612.5</v>
      </c>
      <c r="T429" s="14">
        <f t="shared" si="238"/>
        <v>1.07455794126934E-2</v>
      </c>
      <c r="V429" s="89">
        <f t="shared" si="281"/>
        <v>1266800</v>
      </c>
      <c r="W429" s="90">
        <v>13612.5</v>
      </c>
      <c r="X429" s="14">
        <f t="shared" si="232"/>
        <v>1.07455794126934E-2</v>
      </c>
      <c r="AB429" s="89">
        <f t="shared" si="282"/>
        <v>1266800</v>
      </c>
      <c r="AC429" s="90">
        <v>34502.5</v>
      </c>
      <c r="AD429" s="14">
        <f t="shared" si="225"/>
        <v>2.7235948847489738E-2</v>
      </c>
      <c r="AE429" s="4" t="s">
        <v>371</v>
      </c>
    </row>
    <row r="430" spans="1:31" ht="13.8" thickBot="1" x14ac:dyDescent="0.3">
      <c r="A430" s="7">
        <v>423</v>
      </c>
      <c r="B430" s="9"/>
      <c r="C430" s="16" t="s">
        <v>179</v>
      </c>
      <c r="D430" s="16"/>
      <c r="E430" s="16"/>
      <c r="F430" s="17"/>
      <c r="G430" s="17"/>
      <c r="H430" s="74">
        <f>SUM(H427:H429)</f>
        <v>445100</v>
      </c>
      <c r="I430" s="83">
        <f>SUM(I427:I429)</f>
        <v>0</v>
      </c>
      <c r="J430" s="83">
        <f>SUM(J427:J429)</f>
        <v>0</v>
      </c>
      <c r="K430" s="32">
        <f>SUM(K427:K429)</f>
        <v>445100</v>
      </c>
      <c r="L430" s="108">
        <f>SUM(L427:L429)</f>
        <v>13612.5</v>
      </c>
      <c r="M430" s="14">
        <f t="shared" si="223"/>
        <v>3.0583015052797126E-2</v>
      </c>
      <c r="N430" s="83">
        <f t="shared" ref="N430:S430" si="284">SUM(N427:N429)</f>
        <v>866800</v>
      </c>
      <c r="O430" s="83">
        <f t="shared" si="284"/>
        <v>0</v>
      </c>
      <c r="P430" s="83">
        <f t="shared" si="284"/>
        <v>0</v>
      </c>
      <c r="Q430" s="83">
        <f t="shared" si="284"/>
        <v>0</v>
      </c>
      <c r="R430" s="32">
        <f t="shared" si="284"/>
        <v>1311900</v>
      </c>
      <c r="S430" s="108">
        <f t="shared" si="284"/>
        <v>13612.5</v>
      </c>
      <c r="T430" s="112">
        <f t="shared" si="238"/>
        <v>1.0376171964326549E-2</v>
      </c>
      <c r="U430" s="83">
        <f t="shared" ref="U430" si="285">SUM(U427:U429)</f>
        <v>0</v>
      </c>
      <c r="V430" s="32">
        <f t="shared" ref="V430" si="286">SUM(V427:V429)</f>
        <v>1311900</v>
      </c>
      <c r="W430" s="108">
        <f t="shared" ref="W430" si="287">SUM(W427:W429)</f>
        <v>13612.5</v>
      </c>
      <c r="X430" s="112">
        <f t="shared" si="232"/>
        <v>1.0376171964326549E-2</v>
      </c>
      <c r="Y430" s="83">
        <f t="shared" ref="Y430:AC430" si="288">SUM(Y427:Y429)</f>
        <v>0</v>
      </c>
      <c r="Z430" s="83">
        <f t="shared" si="288"/>
        <v>0</v>
      </c>
      <c r="AA430" s="83">
        <f t="shared" si="288"/>
        <v>0</v>
      </c>
      <c r="AB430" s="32">
        <f t="shared" si="288"/>
        <v>1311900</v>
      </c>
      <c r="AC430" s="108">
        <f t="shared" si="288"/>
        <v>79602.5</v>
      </c>
      <c r="AD430" s="112">
        <f t="shared" si="225"/>
        <v>6.0677261986431891E-2</v>
      </c>
    </row>
    <row r="431" spans="1:31" ht="13.8" thickTop="1" x14ac:dyDescent="0.25">
      <c r="A431" s="7">
        <v>424</v>
      </c>
      <c r="B431" s="9"/>
      <c r="C431" s="9"/>
      <c r="D431" s="9"/>
      <c r="E431" s="9"/>
      <c r="F431" s="13"/>
      <c r="G431" s="13"/>
      <c r="M431" s="14">
        <f t="shared" si="223"/>
        <v>0</v>
      </c>
      <c r="T431" s="14">
        <f t="shared" si="238"/>
        <v>0</v>
      </c>
      <c r="X431" s="14">
        <f t="shared" si="232"/>
        <v>0</v>
      </c>
      <c r="AD431" s="14">
        <f t="shared" si="225"/>
        <v>0</v>
      </c>
    </row>
    <row r="432" spans="1:31" x14ac:dyDescent="0.25">
      <c r="A432" s="7">
        <v>425</v>
      </c>
      <c r="B432" s="9" t="s">
        <v>180</v>
      </c>
      <c r="C432" s="9"/>
      <c r="D432" s="9"/>
      <c r="E432" s="9"/>
      <c r="F432" s="13"/>
      <c r="G432" s="13"/>
      <c r="M432" s="14">
        <f t="shared" si="223"/>
        <v>0</v>
      </c>
      <c r="T432" s="14">
        <f t="shared" si="238"/>
        <v>0</v>
      </c>
      <c r="X432" s="14">
        <f t="shared" si="232"/>
        <v>0</v>
      </c>
      <c r="AD432" s="14">
        <f t="shared" si="225"/>
        <v>0</v>
      </c>
    </row>
    <row r="433" spans="1:31" x14ac:dyDescent="0.25">
      <c r="A433" s="7">
        <v>426</v>
      </c>
      <c r="B433" s="9"/>
      <c r="C433" s="9">
        <v>5512</v>
      </c>
      <c r="D433" s="9">
        <v>6123</v>
      </c>
      <c r="E433" s="9"/>
      <c r="F433" s="13" t="s">
        <v>303</v>
      </c>
      <c r="G433" s="38" t="s">
        <v>168</v>
      </c>
      <c r="H433" s="87">
        <v>700000</v>
      </c>
      <c r="K433" s="89">
        <f t="shared" ref="K433" si="289">H433+I433+J433</f>
        <v>700000</v>
      </c>
      <c r="M433" s="14">
        <f t="shared" si="223"/>
        <v>0</v>
      </c>
      <c r="R433" s="89">
        <f t="shared" ref="R433" si="290">H433+I433+J433+N433+O433+P433+Q433</f>
        <v>700000</v>
      </c>
      <c r="T433" s="14">
        <f t="shared" si="238"/>
        <v>0</v>
      </c>
      <c r="U433" s="88">
        <v>300000</v>
      </c>
      <c r="V433" s="89">
        <f t="shared" ref="V433" si="291">H433+I433+J433+N433+O433+P433+Q433+U433</f>
        <v>1000000</v>
      </c>
      <c r="X433" s="14">
        <f t="shared" si="232"/>
        <v>0</v>
      </c>
      <c r="Y433" s="88">
        <v>9000000</v>
      </c>
      <c r="AB433" s="89">
        <f t="shared" ref="AB433" si="292">H433+I433+J433+N433+O433+P433+Q433+U433+Y433+Z433+AA433</f>
        <v>10000000</v>
      </c>
      <c r="AC433" s="90">
        <v>60772</v>
      </c>
      <c r="AD433" s="14">
        <f t="shared" si="225"/>
        <v>6.0771999999999996E-3</v>
      </c>
      <c r="AE433" s="4" t="s">
        <v>371</v>
      </c>
    </row>
    <row r="434" spans="1:31" ht="13.8" thickBot="1" x14ac:dyDescent="0.3">
      <c r="A434" s="7">
        <v>427</v>
      </c>
      <c r="B434" s="9"/>
      <c r="C434" s="16" t="s">
        <v>264</v>
      </c>
      <c r="D434" s="16"/>
      <c r="E434" s="16"/>
      <c r="F434" s="17"/>
      <c r="G434" s="17"/>
      <c r="H434" s="74">
        <f>SUM(H433:H433)</f>
        <v>700000</v>
      </c>
      <c r="I434" s="83">
        <f>SUM(I433:I433)</f>
        <v>0</v>
      </c>
      <c r="J434" s="83">
        <f>SUM(J433:J433)</f>
        <v>0</v>
      </c>
      <c r="K434" s="32">
        <f>SUM(K433:K433)</f>
        <v>700000</v>
      </c>
      <c r="L434" s="108">
        <f>SUM(L433:L433)</f>
        <v>0</v>
      </c>
      <c r="M434" s="14">
        <f t="shared" si="223"/>
        <v>0</v>
      </c>
      <c r="N434" s="83">
        <f t="shared" ref="N434:S434" si="293">SUM(N433:N433)</f>
        <v>0</v>
      </c>
      <c r="O434" s="83">
        <f t="shared" si="293"/>
        <v>0</v>
      </c>
      <c r="P434" s="83">
        <f t="shared" si="293"/>
        <v>0</v>
      </c>
      <c r="Q434" s="83">
        <f t="shared" si="293"/>
        <v>0</v>
      </c>
      <c r="R434" s="32">
        <f t="shared" si="293"/>
        <v>700000</v>
      </c>
      <c r="S434" s="108">
        <f t="shared" si="293"/>
        <v>0</v>
      </c>
      <c r="T434" s="112">
        <f t="shared" si="238"/>
        <v>0</v>
      </c>
      <c r="U434" s="83">
        <f t="shared" ref="U434" si="294">SUM(U433:U433)</f>
        <v>300000</v>
      </c>
      <c r="V434" s="32">
        <f t="shared" ref="V434" si="295">SUM(V433:V433)</f>
        <v>1000000</v>
      </c>
      <c r="W434" s="108">
        <f t="shared" ref="W434" si="296">SUM(W433:W433)</f>
        <v>0</v>
      </c>
      <c r="X434" s="112">
        <f t="shared" si="232"/>
        <v>0</v>
      </c>
      <c r="Y434" s="83">
        <f t="shared" ref="Y434:AC434" si="297">SUM(Y433:Y433)</f>
        <v>9000000</v>
      </c>
      <c r="Z434" s="83">
        <f t="shared" si="297"/>
        <v>0</v>
      </c>
      <c r="AA434" s="83">
        <f t="shared" si="297"/>
        <v>0</v>
      </c>
      <c r="AB434" s="32">
        <f t="shared" si="297"/>
        <v>10000000</v>
      </c>
      <c r="AC434" s="108">
        <f t="shared" si="297"/>
        <v>60772</v>
      </c>
      <c r="AD434" s="112">
        <f t="shared" si="225"/>
        <v>6.0771999999999996E-3</v>
      </c>
    </row>
    <row r="435" spans="1:31" ht="13.8" thickTop="1" x14ac:dyDescent="0.25">
      <c r="A435" s="7">
        <v>428</v>
      </c>
      <c r="B435" s="9"/>
      <c r="C435" s="9"/>
      <c r="D435" s="9"/>
      <c r="E435" s="9"/>
      <c r="F435" s="13"/>
      <c r="G435" s="13"/>
      <c r="M435" s="14">
        <f t="shared" si="223"/>
        <v>0</v>
      </c>
      <c r="T435" s="14">
        <f t="shared" si="238"/>
        <v>0</v>
      </c>
      <c r="X435" s="14">
        <f t="shared" si="232"/>
        <v>0</v>
      </c>
      <c r="AD435" s="14">
        <f t="shared" si="225"/>
        <v>0</v>
      </c>
    </row>
    <row r="436" spans="1:31" x14ac:dyDescent="0.25">
      <c r="A436" s="7">
        <v>429</v>
      </c>
      <c r="B436" s="9"/>
      <c r="C436" s="9"/>
      <c r="D436" s="9"/>
      <c r="E436" s="9"/>
      <c r="F436" s="13"/>
      <c r="G436" s="13"/>
      <c r="M436" s="14">
        <f t="shared" si="223"/>
        <v>0</v>
      </c>
      <c r="T436" s="14">
        <f t="shared" si="238"/>
        <v>0</v>
      </c>
      <c r="X436" s="14">
        <f t="shared" si="232"/>
        <v>0</v>
      </c>
      <c r="AD436" s="14">
        <f t="shared" si="225"/>
        <v>0</v>
      </c>
    </row>
    <row r="437" spans="1:31" x14ac:dyDescent="0.25">
      <c r="A437" s="7">
        <v>430</v>
      </c>
      <c r="B437" s="9" t="s">
        <v>265</v>
      </c>
      <c r="C437" s="9"/>
      <c r="D437" s="9"/>
      <c r="E437" s="9"/>
      <c r="F437" s="13"/>
      <c r="G437" s="13"/>
      <c r="M437" s="14">
        <f t="shared" si="223"/>
        <v>0</v>
      </c>
      <c r="T437" s="14">
        <f t="shared" si="238"/>
        <v>0</v>
      </c>
      <c r="X437" s="14">
        <f t="shared" si="232"/>
        <v>0</v>
      </c>
      <c r="AD437" s="14">
        <f t="shared" si="225"/>
        <v>0</v>
      </c>
    </row>
    <row r="438" spans="1:31" x14ac:dyDescent="0.25">
      <c r="A438" s="7">
        <v>431</v>
      </c>
      <c r="B438" s="9"/>
      <c r="C438" s="9"/>
      <c r="D438" s="9"/>
      <c r="E438" s="9"/>
      <c r="F438" s="13"/>
      <c r="G438" s="13"/>
      <c r="M438" s="14">
        <f t="shared" si="223"/>
        <v>0</v>
      </c>
      <c r="T438" s="14">
        <f t="shared" si="238"/>
        <v>0</v>
      </c>
      <c r="X438" s="14">
        <f t="shared" si="232"/>
        <v>0</v>
      </c>
      <c r="AD438" s="14">
        <f t="shared" si="225"/>
        <v>0</v>
      </c>
    </row>
    <row r="439" spans="1:31" x14ac:dyDescent="0.25">
      <c r="A439" s="7">
        <v>432</v>
      </c>
      <c r="B439" s="37"/>
      <c r="C439" s="37"/>
      <c r="D439" s="37"/>
      <c r="E439" s="37"/>
      <c r="F439" s="34"/>
      <c r="G439" s="38"/>
      <c r="M439" s="14">
        <f t="shared" si="223"/>
        <v>0</v>
      </c>
      <c r="T439" s="14">
        <f t="shared" si="238"/>
        <v>0</v>
      </c>
      <c r="X439" s="14">
        <f t="shared" si="232"/>
        <v>0</v>
      </c>
      <c r="AD439" s="14">
        <f t="shared" si="225"/>
        <v>0</v>
      </c>
    </row>
    <row r="440" spans="1:31" x14ac:dyDescent="0.25">
      <c r="A440" s="7">
        <v>433</v>
      </c>
      <c r="B440" s="37"/>
      <c r="C440" s="37">
        <v>3613</v>
      </c>
      <c r="D440" s="37">
        <v>6121</v>
      </c>
      <c r="E440" s="37"/>
      <c r="F440" s="34" t="s">
        <v>299</v>
      </c>
      <c r="G440" s="38"/>
      <c r="H440" s="87">
        <v>120000</v>
      </c>
      <c r="K440" s="89">
        <f t="shared" ref="K440:K444" si="298">H440+I440+J440</f>
        <v>120000</v>
      </c>
      <c r="M440" s="14">
        <f t="shared" si="223"/>
        <v>0</v>
      </c>
      <c r="R440" s="89">
        <f t="shared" ref="R440:R444" si="299">H440+I440+J440+N440+O440+P440+Q440</f>
        <v>120000</v>
      </c>
      <c r="T440" s="14">
        <f t="shared" si="238"/>
        <v>0</v>
      </c>
      <c r="V440" s="89">
        <f t="shared" ref="V440:V444" si="300">H440+I440+J440+N440+O440+P440+Q440+U440</f>
        <v>120000</v>
      </c>
      <c r="X440" s="14">
        <f t="shared" si="232"/>
        <v>0</v>
      </c>
      <c r="AB440" s="89">
        <f t="shared" ref="AB440:AB444" si="301">H440+I440+J440+N440+O440+P440+Q440+U440+Y440+Z440+AA440</f>
        <v>120000</v>
      </c>
      <c r="AC440" s="90">
        <v>0</v>
      </c>
      <c r="AD440" s="14">
        <f t="shared" si="225"/>
        <v>0</v>
      </c>
      <c r="AE440" s="4" t="s">
        <v>371</v>
      </c>
    </row>
    <row r="441" spans="1:31" x14ac:dyDescent="0.25">
      <c r="A441" s="7">
        <v>434</v>
      </c>
      <c r="B441" s="9"/>
      <c r="C441" s="9">
        <v>3612</v>
      </c>
      <c r="D441" s="9">
        <v>6121</v>
      </c>
      <c r="E441" s="9"/>
      <c r="F441" s="13" t="s">
        <v>266</v>
      </c>
      <c r="G441" s="13"/>
      <c r="H441" s="87">
        <v>190900</v>
      </c>
      <c r="K441" s="89">
        <f t="shared" si="298"/>
        <v>190900</v>
      </c>
      <c r="M441" s="14">
        <f t="shared" si="223"/>
        <v>0</v>
      </c>
      <c r="R441" s="89">
        <f t="shared" si="299"/>
        <v>190900</v>
      </c>
      <c r="T441" s="14">
        <f t="shared" si="238"/>
        <v>0</v>
      </c>
      <c r="V441" s="89">
        <f t="shared" si="300"/>
        <v>190900</v>
      </c>
      <c r="X441" s="14">
        <f t="shared" si="232"/>
        <v>0</v>
      </c>
      <c r="AB441" s="89">
        <f t="shared" si="301"/>
        <v>190900</v>
      </c>
      <c r="AC441" s="90">
        <v>115268.88</v>
      </c>
      <c r="AD441" s="14">
        <f t="shared" si="225"/>
        <v>0.60381812467260343</v>
      </c>
      <c r="AE441" s="4" t="s">
        <v>371</v>
      </c>
    </row>
    <row r="442" spans="1:31" x14ac:dyDescent="0.25">
      <c r="A442" s="7">
        <v>435</v>
      </c>
      <c r="B442" s="9"/>
      <c r="C442" s="9">
        <v>3612</v>
      </c>
      <c r="D442" s="9">
        <v>6121</v>
      </c>
      <c r="E442" s="9"/>
      <c r="F442" s="13" t="s">
        <v>267</v>
      </c>
      <c r="G442" s="38" t="s">
        <v>168</v>
      </c>
      <c r="H442" s="87">
        <v>2418200</v>
      </c>
      <c r="K442" s="89">
        <f t="shared" si="298"/>
        <v>2418200</v>
      </c>
      <c r="M442" s="14">
        <f t="shared" si="223"/>
        <v>0</v>
      </c>
      <c r="R442" s="89">
        <f t="shared" si="299"/>
        <v>2418200</v>
      </c>
      <c r="S442" s="90">
        <v>2418150</v>
      </c>
      <c r="T442" s="14">
        <f t="shared" si="238"/>
        <v>0.99997932346373331</v>
      </c>
      <c r="V442" s="89">
        <f t="shared" si="300"/>
        <v>2418200</v>
      </c>
      <c r="W442" s="90">
        <v>2418150</v>
      </c>
      <c r="X442" s="14">
        <f t="shared" si="232"/>
        <v>0.99997932346373331</v>
      </c>
      <c r="Z442" s="88">
        <v>-2418200</v>
      </c>
      <c r="AB442" s="89">
        <f t="shared" si="301"/>
        <v>0</v>
      </c>
      <c r="AC442" s="90">
        <v>0</v>
      </c>
      <c r="AD442" s="14">
        <f t="shared" si="225"/>
        <v>0</v>
      </c>
    </row>
    <row r="443" spans="1:31" x14ac:dyDescent="0.25">
      <c r="A443" s="7">
        <v>436</v>
      </c>
      <c r="B443" s="9"/>
      <c r="C443" s="9">
        <v>3612</v>
      </c>
      <c r="D443" s="9">
        <v>6202</v>
      </c>
      <c r="E443" s="9"/>
      <c r="F443" s="13"/>
      <c r="G443" s="38"/>
      <c r="M443" s="14"/>
      <c r="T443" s="14"/>
      <c r="X443" s="14"/>
      <c r="Z443" s="88">
        <f>3891900+1808100+2418200</f>
        <v>8118200</v>
      </c>
      <c r="AB443" s="89">
        <f t="shared" ref="AB443" si="302">H443+I443+J443+N443+O443+P443+Q443+U443+Y443+Z443+AA443</f>
        <v>8118200</v>
      </c>
      <c r="AC443" s="90">
        <v>8060500</v>
      </c>
      <c r="AD443" s="14">
        <f t="shared" si="225"/>
        <v>0.99289251311867166</v>
      </c>
      <c r="AE443" s="4" t="s">
        <v>371</v>
      </c>
    </row>
    <row r="444" spans="1:31" x14ac:dyDescent="0.25">
      <c r="A444" s="7">
        <v>437</v>
      </c>
      <c r="B444" s="9"/>
      <c r="C444" s="9">
        <v>3612</v>
      </c>
      <c r="D444" s="9">
        <v>6121</v>
      </c>
      <c r="E444" s="9"/>
      <c r="F444" s="13" t="s">
        <v>268</v>
      </c>
      <c r="G444" s="38" t="s">
        <v>168</v>
      </c>
      <c r="H444" s="87">
        <v>500000</v>
      </c>
      <c r="K444" s="89">
        <f t="shared" si="298"/>
        <v>500000</v>
      </c>
      <c r="L444" s="90">
        <v>126659</v>
      </c>
      <c r="M444" s="14">
        <f t="shared" si="223"/>
        <v>0.25331799999999999</v>
      </c>
      <c r="R444" s="89">
        <f t="shared" si="299"/>
        <v>500000</v>
      </c>
      <c r="S444" s="90">
        <v>211117</v>
      </c>
      <c r="T444" s="14">
        <f t="shared" si="238"/>
        <v>0.422234</v>
      </c>
      <c r="V444" s="89">
        <f t="shared" si="300"/>
        <v>500000</v>
      </c>
      <c r="W444" s="90">
        <v>211117</v>
      </c>
      <c r="X444" s="14">
        <f t="shared" si="232"/>
        <v>0.422234</v>
      </c>
      <c r="AB444" s="89">
        <f t="shared" si="301"/>
        <v>500000</v>
      </c>
      <c r="AC444" s="90">
        <v>442365.69</v>
      </c>
      <c r="AD444" s="14">
        <f t="shared" si="225"/>
        <v>0.88473137999999996</v>
      </c>
      <c r="AE444" s="4" t="s">
        <v>371</v>
      </c>
    </row>
    <row r="445" spans="1:31" ht="13.8" thickBot="1" x14ac:dyDescent="0.3">
      <c r="A445" s="7">
        <v>438</v>
      </c>
      <c r="B445" s="9"/>
      <c r="C445" s="16" t="s">
        <v>212</v>
      </c>
      <c r="D445" s="16"/>
      <c r="E445" s="16"/>
      <c r="F445" s="17"/>
      <c r="G445" s="17"/>
      <c r="H445" s="74">
        <f>SUM(H438:H444)</f>
        <v>3229100</v>
      </c>
      <c r="I445" s="83">
        <f>SUM(I438:I444)</f>
        <v>0</v>
      </c>
      <c r="J445" s="83">
        <f>SUM(J438:J444)</f>
        <v>0</v>
      </c>
      <c r="K445" s="32">
        <f>SUM(K438:K444)</f>
        <v>3229100</v>
      </c>
      <c r="L445" s="108">
        <f>SUM(L438:L444)</f>
        <v>126659</v>
      </c>
      <c r="M445" s="14">
        <f t="shared" si="223"/>
        <v>3.9224242048868103E-2</v>
      </c>
      <c r="N445" s="83">
        <f t="shared" ref="N445:S445" si="303">SUM(N438:N444)</f>
        <v>0</v>
      </c>
      <c r="O445" s="83">
        <f t="shared" si="303"/>
        <v>0</v>
      </c>
      <c r="P445" s="83">
        <f t="shared" si="303"/>
        <v>0</v>
      </c>
      <c r="Q445" s="83">
        <f t="shared" si="303"/>
        <v>0</v>
      </c>
      <c r="R445" s="32">
        <f t="shared" si="303"/>
        <v>3229100</v>
      </c>
      <c r="S445" s="108">
        <f t="shared" si="303"/>
        <v>2629267</v>
      </c>
      <c r="T445" s="112">
        <f t="shared" si="238"/>
        <v>0.81424142950048006</v>
      </c>
      <c r="U445" s="83">
        <f t="shared" ref="U445" si="304">SUM(U438:U444)</f>
        <v>0</v>
      </c>
      <c r="V445" s="32">
        <f t="shared" ref="V445" si="305">SUM(V438:V444)</f>
        <v>3229100</v>
      </c>
      <c r="W445" s="108">
        <f t="shared" ref="W445" si="306">SUM(W438:W444)</f>
        <v>2629267</v>
      </c>
      <c r="X445" s="112">
        <f t="shared" si="232"/>
        <v>0.81424142950048006</v>
      </c>
      <c r="Y445" s="83">
        <f t="shared" ref="Y445:AC445" si="307">SUM(Y438:Y444)</f>
        <v>0</v>
      </c>
      <c r="Z445" s="83">
        <f t="shared" si="307"/>
        <v>5700000</v>
      </c>
      <c r="AA445" s="83">
        <f t="shared" si="307"/>
        <v>0</v>
      </c>
      <c r="AB445" s="32">
        <f t="shared" si="307"/>
        <v>8929100</v>
      </c>
      <c r="AC445" s="108">
        <f t="shared" si="307"/>
        <v>8618134.5700000003</v>
      </c>
      <c r="AD445" s="112">
        <f t="shared" si="225"/>
        <v>0.9651739335431343</v>
      </c>
    </row>
    <row r="446" spans="1:31" ht="13.8" thickTop="1" x14ac:dyDescent="0.25">
      <c r="A446" s="7">
        <v>439</v>
      </c>
      <c r="B446" s="9"/>
      <c r="C446" s="9"/>
      <c r="D446" s="9"/>
      <c r="E446" s="9"/>
      <c r="F446" s="13"/>
      <c r="G446" s="13"/>
      <c r="M446" s="14">
        <f t="shared" si="223"/>
        <v>0</v>
      </c>
      <c r="T446" s="14">
        <f t="shared" si="238"/>
        <v>0</v>
      </c>
      <c r="X446" s="14">
        <f t="shared" si="232"/>
        <v>0</v>
      </c>
      <c r="AD446" s="14">
        <f t="shared" si="225"/>
        <v>0</v>
      </c>
    </row>
    <row r="447" spans="1:31" x14ac:dyDescent="0.25">
      <c r="A447" s="7">
        <v>440</v>
      </c>
      <c r="B447" s="9" t="s">
        <v>269</v>
      </c>
      <c r="C447" s="9"/>
      <c r="D447" s="9"/>
      <c r="E447" s="9"/>
      <c r="F447" s="13"/>
      <c r="G447" s="13"/>
      <c r="M447" s="14">
        <f t="shared" si="223"/>
        <v>0</v>
      </c>
      <c r="T447" s="14">
        <f t="shared" si="238"/>
        <v>0</v>
      </c>
      <c r="X447" s="14">
        <f t="shared" si="232"/>
        <v>0</v>
      </c>
      <c r="AD447" s="14">
        <f t="shared" si="225"/>
        <v>0</v>
      </c>
    </row>
    <row r="448" spans="1:31" x14ac:dyDescent="0.25">
      <c r="A448" s="7">
        <v>441</v>
      </c>
      <c r="B448" s="9"/>
      <c r="C448" s="9">
        <v>6171</v>
      </c>
      <c r="D448" s="9">
        <v>6122</v>
      </c>
      <c r="E448" s="9"/>
      <c r="F448" s="13" t="s">
        <v>270</v>
      </c>
      <c r="G448" s="38" t="s">
        <v>168</v>
      </c>
      <c r="H448" s="87">
        <v>300000</v>
      </c>
      <c r="K448" s="89">
        <f t="shared" ref="K448" si="308">H448+I448+J448</f>
        <v>300000</v>
      </c>
      <c r="M448" s="14">
        <f t="shared" si="223"/>
        <v>0</v>
      </c>
      <c r="R448" s="89">
        <f t="shared" ref="R448" si="309">H448+I448+J448+N448+O448+P448+Q448</f>
        <v>300000</v>
      </c>
      <c r="T448" s="14">
        <f t="shared" si="238"/>
        <v>0</v>
      </c>
      <c r="V448" s="89">
        <f t="shared" ref="V448" si="310">H448+I448+J448+N448+O448+P448+Q448+U448</f>
        <v>300000</v>
      </c>
      <c r="X448" s="14">
        <f t="shared" si="232"/>
        <v>0</v>
      </c>
      <c r="Z448" s="88">
        <f>-74000-226000</f>
        <v>-300000</v>
      </c>
      <c r="AB448" s="89">
        <f t="shared" ref="AB448" si="311">H448+I448+J448+N448+O448+P448+Q448+U448+Y448+Z448+AA448</f>
        <v>0</v>
      </c>
      <c r="AD448" s="14">
        <f t="shared" si="225"/>
        <v>0</v>
      </c>
    </row>
    <row r="449" spans="1:31" x14ac:dyDescent="0.25">
      <c r="A449" s="7">
        <v>442</v>
      </c>
      <c r="B449" s="9"/>
      <c r="C449" s="9">
        <v>6171</v>
      </c>
      <c r="D449" s="9">
        <v>6123</v>
      </c>
      <c r="E449" s="9"/>
      <c r="F449" s="13"/>
      <c r="G449" s="13"/>
      <c r="M449" s="14">
        <f t="shared" si="223"/>
        <v>0</v>
      </c>
      <c r="T449" s="14">
        <f t="shared" si="238"/>
        <v>0</v>
      </c>
      <c r="X449" s="14">
        <f t="shared" si="232"/>
        <v>0</v>
      </c>
      <c r="Z449" s="88">
        <v>226000</v>
      </c>
      <c r="AB449" s="89">
        <f t="shared" ref="AB449" si="312">H449+I449+J449+N449+O449+P449+Q449+U449+Y449+Z449+AA449</f>
        <v>226000</v>
      </c>
      <c r="AC449" s="90">
        <v>225060</v>
      </c>
      <c r="AD449" s="14">
        <f t="shared" si="225"/>
        <v>0.99584070796460178</v>
      </c>
      <c r="AE449" s="4" t="s">
        <v>371</v>
      </c>
    </row>
    <row r="450" spans="1:31" ht="13.8" thickBot="1" x14ac:dyDescent="0.3">
      <c r="A450" s="7">
        <v>443</v>
      </c>
      <c r="B450" s="9"/>
      <c r="C450" s="16" t="s">
        <v>271</v>
      </c>
      <c r="D450" s="16"/>
      <c r="E450" s="16"/>
      <c r="F450" s="17"/>
      <c r="G450" s="17"/>
      <c r="H450" s="74">
        <f>SUM(H448:H449)</f>
        <v>300000</v>
      </c>
      <c r="I450" s="83">
        <f>SUM(I448:I449)</f>
        <v>0</v>
      </c>
      <c r="J450" s="83">
        <f>SUM(J448:J449)</f>
        <v>0</v>
      </c>
      <c r="K450" s="32">
        <f>SUM(K448:K449)</f>
        <v>300000</v>
      </c>
      <c r="L450" s="108">
        <f>SUM(L448:L449)</f>
        <v>0</v>
      </c>
      <c r="M450" s="14">
        <f t="shared" si="223"/>
        <v>0</v>
      </c>
      <c r="N450" s="83">
        <f t="shared" ref="N450:S450" si="313">SUM(N448:N449)</f>
        <v>0</v>
      </c>
      <c r="O450" s="83">
        <f t="shared" si="313"/>
        <v>0</v>
      </c>
      <c r="P450" s="83">
        <f t="shared" si="313"/>
        <v>0</v>
      </c>
      <c r="Q450" s="83">
        <f t="shared" si="313"/>
        <v>0</v>
      </c>
      <c r="R450" s="32">
        <f t="shared" si="313"/>
        <v>300000</v>
      </c>
      <c r="S450" s="108">
        <f t="shared" si="313"/>
        <v>0</v>
      </c>
      <c r="T450" s="112">
        <f t="shared" si="238"/>
        <v>0</v>
      </c>
      <c r="U450" s="83">
        <f t="shared" ref="U450" si="314">SUM(U448:U449)</f>
        <v>0</v>
      </c>
      <c r="V450" s="32">
        <f t="shared" ref="V450" si="315">SUM(V448:V449)</f>
        <v>300000</v>
      </c>
      <c r="W450" s="108">
        <f t="shared" ref="W450" si="316">SUM(W448:W449)</f>
        <v>0</v>
      </c>
      <c r="X450" s="112">
        <f t="shared" si="232"/>
        <v>0</v>
      </c>
      <c r="Y450" s="83">
        <f t="shared" ref="Y450:AC450" si="317">SUM(Y448:Y449)</f>
        <v>0</v>
      </c>
      <c r="Z450" s="83">
        <f t="shared" si="317"/>
        <v>-74000</v>
      </c>
      <c r="AA450" s="83">
        <f t="shared" si="317"/>
        <v>0</v>
      </c>
      <c r="AB450" s="32">
        <f t="shared" si="317"/>
        <v>226000</v>
      </c>
      <c r="AC450" s="108">
        <f t="shared" si="317"/>
        <v>225060</v>
      </c>
      <c r="AD450" s="112">
        <f t="shared" si="225"/>
        <v>0.99584070796460178</v>
      </c>
    </row>
    <row r="451" spans="1:31" ht="13.8" thickTop="1" x14ac:dyDescent="0.25">
      <c r="A451" s="7">
        <v>444</v>
      </c>
      <c r="B451" s="9"/>
      <c r="C451" s="9"/>
      <c r="D451" s="9"/>
      <c r="E451" s="9"/>
      <c r="F451" s="13"/>
      <c r="G451" s="13"/>
      <c r="M451" s="14">
        <f t="shared" si="223"/>
        <v>0</v>
      </c>
      <c r="T451" s="14">
        <f t="shared" si="238"/>
        <v>0</v>
      </c>
      <c r="X451" s="14">
        <f t="shared" si="232"/>
        <v>0</v>
      </c>
      <c r="AD451" s="14">
        <f t="shared" si="225"/>
        <v>0</v>
      </c>
    </row>
    <row r="452" spans="1:31" x14ac:dyDescent="0.25">
      <c r="A452" s="7">
        <v>445</v>
      </c>
      <c r="B452" s="27" t="s">
        <v>272</v>
      </c>
      <c r="C452" s="27"/>
      <c r="D452" s="27"/>
      <c r="E452" s="27"/>
      <c r="F452" s="39"/>
      <c r="G452" s="39"/>
      <c r="H452" s="75">
        <f>H450+H445+H434+H430+H424+H419+H414+H408+H403</f>
        <v>6024200</v>
      </c>
      <c r="I452" s="60">
        <f>I450+I445+I434+I430+I424+I419+I414+I408+I403</f>
        <v>41000</v>
      </c>
      <c r="J452" s="60">
        <f>J450+J445+J434+J430+J424+J419+J414+J408+J403</f>
        <v>0</v>
      </c>
      <c r="K452" s="42">
        <f>K450+K445+K434+K430+K424+K419+K414+K408+K403</f>
        <v>6065200</v>
      </c>
      <c r="L452" s="109">
        <f>L450+L445+L434+L430+L424+L419+L414+L408+L403</f>
        <v>305201.5</v>
      </c>
      <c r="M452" s="14">
        <f t="shared" si="223"/>
        <v>5.0320104860515733E-2</v>
      </c>
      <c r="N452" s="60">
        <f t="shared" ref="N452:S452" si="318">N450+N445+N434+N430+N424+N419+N414+N408+N403</f>
        <v>22496200</v>
      </c>
      <c r="O452" s="60">
        <f t="shared" si="318"/>
        <v>0</v>
      </c>
      <c r="P452" s="60">
        <f t="shared" si="318"/>
        <v>0</v>
      </c>
      <c r="Q452" s="60">
        <f t="shared" si="318"/>
        <v>0</v>
      </c>
      <c r="R452" s="42">
        <f t="shared" si="318"/>
        <v>28561400</v>
      </c>
      <c r="S452" s="109">
        <f t="shared" si="318"/>
        <v>3340809.5</v>
      </c>
      <c r="T452" s="14">
        <f t="shared" si="238"/>
        <v>0.11696938875545317</v>
      </c>
      <c r="U452" s="60">
        <f t="shared" ref="U452:W452" si="319">U450+U445+U434+U430+U424+U419+U414+U408+U403</f>
        <v>300000</v>
      </c>
      <c r="V452" s="42">
        <f t="shared" si="319"/>
        <v>28861400</v>
      </c>
      <c r="W452" s="109">
        <f t="shared" si="319"/>
        <v>3383809.5</v>
      </c>
      <c r="X452" s="14">
        <f t="shared" si="232"/>
        <v>0.11724342893969107</v>
      </c>
      <c r="Y452" s="60">
        <f t="shared" ref="Y452:AC452" si="320">Y450+Y445+Y434+Y430+Y424+Y419+Y414+Y408+Y403</f>
        <v>9000000</v>
      </c>
      <c r="Z452" s="60">
        <f t="shared" si="320"/>
        <v>5586000</v>
      </c>
      <c r="AA452" s="60">
        <f t="shared" si="320"/>
        <v>0</v>
      </c>
      <c r="AB452" s="42">
        <f t="shared" si="320"/>
        <v>43447400</v>
      </c>
      <c r="AC452" s="109">
        <f t="shared" si="320"/>
        <v>12468268</v>
      </c>
      <c r="AD452" s="14">
        <f t="shared" si="225"/>
        <v>0.28697385804443992</v>
      </c>
    </row>
    <row r="453" spans="1:31" x14ac:dyDescent="0.25">
      <c r="A453" s="7">
        <v>446</v>
      </c>
      <c r="B453" s="9"/>
      <c r="C453" s="9"/>
      <c r="D453" s="9"/>
      <c r="E453" s="9"/>
      <c r="F453" s="13"/>
      <c r="G453" s="13"/>
      <c r="H453" s="73"/>
      <c r="I453" s="59"/>
      <c r="J453" s="59"/>
      <c r="K453" s="15"/>
      <c r="M453" s="14">
        <f t="shared" si="223"/>
        <v>0</v>
      </c>
      <c r="N453" s="59"/>
      <c r="O453" s="59"/>
      <c r="P453" s="59"/>
      <c r="Q453" s="59"/>
      <c r="R453" s="15"/>
      <c r="T453" s="14">
        <f t="shared" si="238"/>
        <v>0</v>
      </c>
      <c r="U453" s="59"/>
      <c r="V453" s="15"/>
      <c r="X453" s="14">
        <f t="shared" si="232"/>
        <v>0</v>
      </c>
      <c r="Y453" s="59"/>
      <c r="Z453" s="59"/>
      <c r="AA453" s="59"/>
      <c r="AB453" s="15"/>
      <c r="AD453" s="14">
        <f t="shared" si="225"/>
        <v>0</v>
      </c>
    </row>
    <row r="454" spans="1:31" ht="13.8" thickBot="1" x14ac:dyDescent="0.3">
      <c r="A454" s="7">
        <v>447</v>
      </c>
      <c r="B454" s="27"/>
      <c r="C454" s="28" t="s">
        <v>273</v>
      </c>
      <c r="D454" s="28"/>
      <c r="E454" s="28"/>
      <c r="F454" s="29"/>
      <c r="G454" s="43"/>
      <c r="H454" s="76">
        <f>H452+H396</f>
        <v>47985500</v>
      </c>
      <c r="I454" s="84">
        <f>I452+I396</f>
        <v>119200</v>
      </c>
      <c r="J454" s="84">
        <f>J452+J396</f>
        <v>886300</v>
      </c>
      <c r="K454" s="54">
        <f>K452+K396</f>
        <v>48991000</v>
      </c>
      <c r="L454" s="110">
        <f>L452+L396</f>
        <v>5971317.8699999992</v>
      </c>
      <c r="M454" s="14">
        <f t="shared" ref="M454:M455" si="321">IF($K454=0,0,L454/$K454)</f>
        <v>0.12188601722765405</v>
      </c>
      <c r="N454" s="84">
        <f t="shared" ref="N454:S454" si="322">N452+N396</f>
        <v>23975200</v>
      </c>
      <c r="O454" s="84">
        <f t="shared" si="322"/>
        <v>1648000</v>
      </c>
      <c r="P454" s="84">
        <f t="shared" si="322"/>
        <v>1722100</v>
      </c>
      <c r="Q454" s="84">
        <f t="shared" si="322"/>
        <v>3663000</v>
      </c>
      <c r="R454" s="54">
        <f t="shared" si="322"/>
        <v>80017300</v>
      </c>
      <c r="S454" s="110">
        <f t="shared" si="322"/>
        <v>17413764.020000003</v>
      </c>
      <c r="T454" s="112">
        <f t="shared" si="238"/>
        <v>0.21762498884616205</v>
      </c>
      <c r="U454" s="84">
        <f t="shared" ref="U454:W454" si="323">U452+U396</f>
        <v>4217900</v>
      </c>
      <c r="V454" s="54">
        <f t="shared" si="323"/>
        <v>84235200</v>
      </c>
      <c r="W454" s="110">
        <f t="shared" si="323"/>
        <v>28128039.520000003</v>
      </c>
      <c r="X454" s="112">
        <f t="shared" si="232"/>
        <v>0.33392262996941902</v>
      </c>
      <c r="Y454" s="84">
        <f t="shared" ref="Y454:AC454" si="324">Y452+Y396</f>
        <v>9000000</v>
      </c>
      <c r="Z454" s="84">
        <f t="shared" si="324"/>
        <v>2607300</v>
      </c>
      <c r="AA454" s="84">
        <f t="shared" si="324"/>
        <v>296400</v>
      </c>
      <c r="AB454" s="54">
        <f t="shared" si="324"/>
        <v>96138900</v>
      </c>
      <c r="AC454" s="110">
        <f t="shared" si="324"/>
        <v>97403939.789999992</v>
      </c>
      <c r="AD454" s="112">
        <f t="shared" si="225"/>
        <v>1.0131584591668927</v>
      </c>
    </row>
    <row r="455" spans="1:31" ht="14.4" thickTop="1" thickBot="1" x14ac:dyDescent="0.3">
      <c r="A455" s="7">
        <v>448</v>
      </c>
      <c r="B455" s="27"/>
      <c r="C455" s="44" t="s">
        <v>274</v>
      </c>
      <c r="D455" s="44"/>
      <c r="E455" s="44"/>
      <c r="F455" s="45"/>
      <c r="G455" s="43"/>
      <c r="H455" s="73">
        <f>H86</f>
        <v>47985500</v>
      </c>
      <c r="I455" s="59">
        <f>I86</f>
        <v>119200</v>
      </c>
      <c r="J455" s="59">
        <f>J86</f>
        <v>886300</v>
      </c>
      <c r="K455" s="15">
        <f>K86</f>
        <v>48964000</v>
      </c>
      <c r="L455" s="90">
        <f>L86</f>
        <v>7800280.8799999999</v>
      </c>
      <c r="M455" s="14">
        <f t="shared" si="321"/>
        <v>0.15930644718568746</v>
      </c>
      <c r="N455" s="59">
        <f t="shared" ref="N455:S455" si="325">N86</f>
        <v>6000000</v>
      </c>
      <c r="O455" s="59">
        <f t="shared" si="325"/>
        <v>1648000</v>
      </c>
      <c r="P455" s="59">
        <f t="shared" si="325"/>
        <v>1740100</v>
      </c>
      <c r="Q455" s="59">
        <f t="shared" si="325"/>
        <v>2379300</v>
      </c>
      <c r="R455" s="15">
        <f t="shared" si="325"/>
        <v>60731400</v>
      </c>
      <c r="S455" s="90">
        <f t="shared" si="325"/>
        <v>29522788.919999998</v>
      </c>
      <c r="T455" s="14">
        <f t="shared" si="238"/>
        <v>0.48612067102026296</v>
      </c>
      <c r="U455" s="59">
        <f t="shared" ref="U455:W455" si="326">U86</f>
        <v>4217900</v>
      </c>
      <c r="V455" s="15">
        <f t="shared" si="326"/>
        <v>64949300</v>
      </c>
      <c r="W455" s="90">
        <f t="shared" si="326"/>
        <v>48841959.379999995</v>
      </c>
      <c r="X455" s="14">
        <f t="shared" si="232"/>
        <v>0.75200132072247117</v>
      </c>
      <c r="Y455" s="59">
        <f t="shared" ref="Y455:AC455" si="327">Y86</f>
        <v>9000000</v>
      </c>
      <c r="Z455" s="59">
        <f t="shared" si="327"/>
        <v>2607300</v>
      </c>
      <c r="AA455" s="59">
        <f t="shared" si="327"/>
        <v>296400</v>
      </c>
      <c r="AB455" s="15">
        <f t="shared" si="327"/>
        <v>76853000</v>
      </c>
      <c r="AC455" s="90">
        <f t="shared" si="327"/>
        <v>124708581.03</v>
      </c>
      <c r="AD455" s="112">
        <f t="shared" si="225"/>
        <v>1.6226898238194996</v>
      </c>
    </row>
    <row r="456" spans="1:31" ht="14.4" thickTop="1" thickBot="1" x14ac:dyDescent="0.3">
      <c r="A456" s="7">
        <v>449</v>
      </c>
      <c r="B456" s="27"/>
      <c r="C456" s="28" t="s">
        <v>275</v>
      </c>
      <c r="D456" s="28"/>
      <c r="E456" s="28"/>
      <c r="F456" s="29"/>
      <c r="G456" s="43"/>
      <c r="H456" s="76">
        <f>H455-H454</f>
        <v>0</v>
      </c>
      <c r="I456" s="84">
        <f>I455-I454</f>
        <v>0</v>
      </c>
      <c r="J456" s="84">
        <f>J455-J454</f>
        <v>0</v>
      </c>
      <c r="K456" s="54">
        <f>K455-K454</f>
        <v>-27000</v>
      </c>
      <c r="L456" s="110">
        <f>L455-L454</f>
        <v>1828963.0100000007</v>
      </c>
      <c r="M456" s="14"/>
      <c r="N456" s="84">
        <f t="shared" ref="N456:S456" si="328">N455-N454</f>
        <v>-17975200</v>
      </c>
      <c r="O456" s="84">
        <f t="shared" si="328"/>
        <v>0</v>
      </c>
      <c r="P456" s="84">
        <f t="shared" si="328"/>
        <v>18000</v>
      </c>
      <c r="Q456" s="84">
        <f t="shared" si="328"/>
        <v>-1283700</v>
      </c>
      <c r="R456" s="54">
        <f t="shared" si="328"/>
        <v>-19285900</v>
      </c>
      <c r="S456" s="110">
        <f t="shared" si="328"/>
        <v>12109024.899999995</v>
      </c>
      <c r="T456" s="112"/>
      <c r="U456" s="84">
        <f t="shared" ref="U456" si="329">U455-U454</f>
        <v>0</v>
      </c>
      <c r="V456" s="54">
        <f t="shared" ref="V456" si="330">V455-V454</f>
        <v>-19285900</v>
      </c>
      <c r="W456" s="110">
        <f t="shared" ref="W456" si="331">W455-W454</f>
        <v>20713919.859999992</v>
      </c>
      <c r="X456" s="112"/>
      <c r="Y456" s="84">
        <f t="shared" ref="Y456:AC456" si="332">Y455-Y454</f>
        <v>0</v>
      </c>
      <c r="Z456" s="84">
        <f t="shared" si="332"/>
        <v>0</v>
      </c>
      <c r="AA456" s="84">
        <f t="shared" si="332"/>
        <v>0</v>
      </c>
      <c r="AB456" s="54">
        <f t="shared" si="332"/>
        <v>-19285900</v>
      </c>
      <c r="AC456" s="110">
        <f t="shared" si="332"/>
        <v>27304641.24000001</v>
      </c>
      <c r="AD456" s="113"/>
    </row>
    <row r="457" spans="1:31" ht="13.8" thickTop="1" x14ac:dyDescent="0.25">
      <c r="A457" s="7">
        <v>450</v>
      </c>
      <c r="B457" s="9"/>
      <c r="C457" s="9"/>
      <c r="D457" s="9"/>
      <c r="E457" s="9"/>
      <c r="F457" s="13"/>
      <c r="G457" s="13"/>
    </row>
    <row r="458" spans="1:31" x14ac:dyDescent="0.25">
      <c r="A458" s="7">
        <v>451</v>
      </c>
      <c r="B458" s="9"/>
      <c r="C458" s="27"/>
      <c r="D458" s="9"/>
      <c r="E458" s="9"/>
      <c r="F458" s="13"/>
      <c r="G458" s="13"/>
    </row>
    <row r="459" spans="1:31" x14ac:dyDescent="0.25">
      <c r="A459" s="7">
        <v>452</v>
      </c>
      <c r="B459" s="9"/>
      <c r="C459" s="27" t="s">
        <v>276</v>
      </c>
      <c r="D459" s="9"/>
      <c r="E459" s="9"/>
      <c r="F459" s="13"/>
      <c r="G459" s="13"/>
    </row>
    <row r="460" spans="1:31" x14ac:dyDescent="0.25">
      <c r="A460" s="7">
        <v>453</v>
      </c>
      <c r="B460" s="9"/>
      <c r="C460" s="27" t="s">
        <v>277</v>
      </c>
      <c r="D460" s="9"/>
      <c r="E460" s="9"/>
      <c r="F460" s="13"/>
      <c r="G460" s="13"/>
    </row>
    <row r="461" spans="1:31" x14ac:dyDescent="0.25">
      <c r="A461" s="7">
        <v>454</v>
      </c>
      <c r="B461" s="9"/>
      <c r="C461" s="9" t="s">
        <v>0</v>
      </c>
      <c r="D461" s="9"/>
      <c r="E461" s="9"/>
      <c r="F461" s="13"/>
      <c r="G461" s="13"/>
    </row>
    <row r="462" spans="1:31" x14ac:dyDescent="0.25">
      <c r="A462" s="7">
        <v>455</v>
      </c>
      <c r="B462" s="9"/>
      <c r="C462" s="9"/>
      <c r="D462" s="9">
        <v>4133</v>
      </c>
      <c r="E462" s="9"/>
      <c r="F462" s="13" t="s">
        <v>278</v>
      </c>
      <c r="G462" s="13"/>
    </row>
    <row r="463" spans="1:31" x14ac:dyDescent="0.25">
      <c r="A463" s="7">
        <v>456</v>
      </c>
      <c r="B463" s="9"/>
      <c r="C463" s="9"/>
      <c r="D463" s="9">
        <v>4139</v>
      </c>
      <c r="E463" s="9"/>
      <c r="F463" s="13" t="s">
        <v>279</v>
      </c>
      <c r="G463" s="13"/>
      <c r="H463" s="87">
        <v>400000</v>
      </c>
      <c r="K463" s="89">
        <v>400000</v>
      </c>
      <c r="R463" s="89">
        <v>400000</v>
      </c>
      <c r="V463" s="89">
        <v>400000</v>
      </c>
      <c r="W463" s="90">
        <v>144400</v>
      </c>
      <c r="AB463" s="89">
        <v>400000</v>
      </c>
      <c r="AC463" s="90">
        <v>279123</v>
      </c>
    </row>
    <row r="464" spans="1:31" x14ac:dyDescent="0.25">
      <c r="A464" s="7">
        <v>457</v>
      </c>
      <c r="B464" s="9"/>
      <c r="C464" s="9"/>
      <c r="D464" s="9">
        <v>4134</v>
      </c>
      <c r="E464" s="9"/>
      <c r="F464" s="13" t="s">
        <v>280</v>
      </c>
      <c r="G464" s="13"/>
      <c r="H464" s="87">
        <v>400000</v>
      </c>
      <c r="K464" s="89">
        <v>400000</v>
      </c>
      <c r="R464" s="89">
        <v>400000</v>
      </c>
      <c r="V464" s="89">
        <v>400000</v>
      </c>
      <c r="W464" s="90">
        <v>164101.70000000001</v>
      </c>
      <c r="AB464" s="89">
        <v>400000</v>
      </c>
      <c r="AC464" s="90">
        <v>44100328.460000001</v>
      </c>
    </row>
    <row r="465" spans="1:30" x14ac:dyDescent="0.25">
      <c r="A465" s="7">
        <v>458</v>
      </c>
      <c r="B465" s="9"/>
      <c r="C465" s="9"/>
      <c r="D465" s="9">
        <v>4131</v>
      </c>
      <c r="E465" s="9"/>
      <c r="F465" s="13" t="s">
        <v>281</v>
      </c>
      <c r="G465" s="13"/>
    </row>
    <row r="466" spans="1:30" x14ac:dyDescent="0.25">
      <c r="A466" s="7">
        <v>459</v>
      </c>
      <c r="B466" s="9"/>
      <c r="C466" s="9">
        <v>6330</v>
      </c>
      <c r="D466" s="9">
        <v>4134</v>
      </c>
      <c r="E466" s="9"/>
      <c r="F466" s="13" t="s">
        <v>282</v>
      </c>
      <c r="G466" s="13"/>
    </row>
    <row r="467" spans="1:30" x14ac:dyDescent="0.25">
      <c r="A467" s="7">
        <v>460</v>
      </c>
      <c r="B467" s="9"/>
      <c r="C467" s="9"/>
      <c r="D467" s="37">
        <v>2460</v>
      </c>
      <c r="E467" s="37"/>
      <c r="F467" s="13" t="s">
        <v>283</v>
      </c>
      <c r="G467" s="13"/>
    </row>
    <row r="468" spans="1:30" x14ac:dyDescent="0.25">
      <c r="A468" s="7">
        <v>461</v>
      </c>
      <c r="B468" s="9"/>
      <c r="C468" s="9"/>
      <c r="D468" s="37"/>
      <c r="E468" s="9"/>
      <c r="F468" s="13" t="s">
        <v>284</v>
      </c>
      <c r="G468" s="13"/>
    </row>
    <row r="469" spans="1:30" ht="13.8" thickBot="1" x14ac:dyDescent="0.3">
      <c r="A469" s="7">
        <v>462</v>
      </c>
      <c r="B469" s="9"/>
      <c r="C469" s="9"/>
      <c r="D469" s="9"/>
      <c r="E469" s="9"/>
      <c r="F469" s="46" t="s">
        <v>285</v>
      </c>
      <c r="G469" s="46" t="s">
        <v>286</v>
      </c>
      <c r="H469" s="74">
        <f>SUM(H455)-H464-H463-H462</f>
        <v>47185500</v>
      </c>
      <c r="I469" s="83">
        <f>SUM(I455)-I464-I463-I462</f>
        <v>119200</v>
      </c>
      <c r="J469" s="83">
        <f>SUM(J455)-J464-J463-J462</f>
        <v>886300</v>
      </c>
      <c r="K469" s="32">
        <f>SUM(K455)-K464-K463-K462</f>
        <v>48164000</v>
      </c>
      <c r="L469" s="108">
        <f>SUM(L455)-L464-L463-L462</f>
        <v>7800280.8799999999</v>
      </c>
      <c r="M469" s="14">
        <f t="shared" ref="M469" si="333">IF($K469=0,0,L469/$K469)</f>
        <v>0.16195251391080476</v>
      </c>
      <c r="N469" s="83">
        <f t="shared" ref="N469:S469" si="334">SUM(N455)-N464-N463-N462</f>
        <v>6000000</v>
      </c>
      <c r="O469" s="83">
        <f t="shared" si="334"/>
        <v>1648000</v>
      </c>
      <c r="P469" s="83">
        <f t="shared" si="334"/>
        <v>1740100</v>
      </c>
      <c r="Q469" s="83">
        <f t="shared" si="334"/>
        <v>2379300</v>
      </c>
      <c r="R469" s="32">
        <f t="shared" si="334"/>
        <v>59931400</v>
      </c>
      <c r="S469" s="108">
        <f t="shared" si="334"/>
        <v>29522788.919999998</v>
      </c>
      <c r="T469" s="112">
        <f t="shared" ref="T469" si="335">IF($R469=0,0,S469/$R469)</f>
        <v>0.49260969908929209</v>
      </c>
      <c r="U469" s="83">
        <f t="shared" ref="U469:W469" si="336">SUM(U455)-U464-U463-U462</f>
        <v>4217900</v>
      </c>
      <c r="V469" s="32">
        <f t="shared" si="336"/>
        <v>64149300</v>
      </c>
      <c r="W469" s="108">
        <f t="shared" si="336"/>
        <v>48533457.679999992</v>
      </c>
      <c r="X469" s="112">
        <f t="shared" ref="X469" si="337">IF($V469=0,0,W469/$V469)</f>
        <v>0.75657033950487362</v>
      </c>
      <c r="Y469" s="83">
        <f t="shared" ref="Y469:AC469" si="338">SUM(Y455)-Y464-Y463-Y462</f>
        <v>9000000</v>
      </c>
      <c r="Z469" s="83">
        <f t="shared" si="338"/>
        <v>2607300</v>
      </c>
      <c r="AA469" s="83">
        <f t="shared" si="338"/>
        <v>296400</v>
      </c>
      <c r="AB469" s="32">
        <f t="shared" si="338"/>
        <v>76053000</v>
      </c>
      <c r="AC469" s="108">
        <f t="shared" si="338"/>
        <v>80329129.569999993</v>
      </c>
      <c r="AD469" s="112">
        <f t="shared" ref="AD469" si="339">IF($AB469=0,0,AC469/$AB469)</f>
        <v>1.0562256527684639</v>
      </c>
    </row>
    <row r="470" spans="1:30" ht="13.8" thickTop="1" x14ac:dyDescent="0.25">
      <c r="A470" s="7">
        <v>463</v>
      </c>
      <c r="B470" s="9"/>
      <c r="C470" s="9"/>
      <c r="D470" s="9"/>
      <c r="E470" s="9"/>
      <c r="F470" s="13"/>
      <c r="G470" s="13"/>
    </row>
    <row r="471" spans="1:30" x14ac:dyDescent="0.25">
      <c r="A471" s="7">
        <v>464</v>
      </c>
      <c r="B471" s="9"/>
      <c r="C471" s="9"/>
      <c r="D471" s="9">
        <v>5344</v>
      </c>
      <c r="E471" s="9"/>
      <c r="F471" s="13" t="s">
        <v>287</v>
      </c>
      <c r="G471" s="13"/>
      <c r="AC471" s="90">
        <v>43766570.759999998</v>
      </c>
    </row>
    <row r="472" spans="1:30" x14ac:dyDescent="0.25">
      <c r="A472" s="7">
        <v>465</v>
      </c>
      <c r="B472" s="9"/>
      <c r="C472" s="9">
        <v>6171</v>
      </c>
      <c r="D472" s="9">
        <v>5182</v>
      </c>
      <c r="E472" s="9"/>
      <c r="F472" s="13" t="s">
        <v>288</v>
      </c>
      <c r="G472" s="13"/>
      <c r="L472" s="90">
        <v>113542</v>
      </c>
      <c r="S472" s="90">
        <v>95661</v>
      </c>
      <c r="W472" s="90">
        <v>69797</v>
      </c>
    </row>
    <row r="473" spans="1:30" x14ac:dyDescent="0.25">
      <c r="A473" s="7">
        <v>466</v>
      </c>
      <c r="B473" s="9"/>
      <c r="C473" s="9"/>
      <c r="D473" s="9">
        <v>5345</v>
      </c>
      <c r="E473" s="9"/>
      <c r="F473" s="13" t="s">
        <v>289</v>
      </c>
      <c r="G473" s="13"/>
      <c r="H473" s="87">
        <v>400000</v>
      </c>
      <c r="K473" s="89">
        <v>400000</v>
      </c>
      <c r="R473" s="89">
        <v>400000</v>
      </c>
      <c r="V473" s="89">
        <v>400000</v>
      </c>
      <c r="W473" s="90">
        <v>144400</v>
      </c>
      <c r="AB473" s="89">
        <v>400000</v>
      </c>
      <c r="AC473" s="90">
        <v>279123</v>
      </c>
    </row>
    <row r="474" spans="1:30" x14ac:dyDescent="0.25">
      <c r="A474" s="7">
        <v>467</v>
      </c>
      <c r="B474" s="9"/>
      <c r="C474" s="9"/>
      <c r="D474" s="9">
        <v>5342</v>
      </c>
      <c r="E474" s="9"/>
      <c r="F474" s="13" t="s">
        <v>290</v>
      </c>
      <c r="G474" s="13"/>
      <c r="H474" s="87">
        <v>400000</v>
      </c>
      <c r="K474" s="89">
        <v>400000</v>
      </c>
      <c r="R474" s="89">
        <v>400000</v>
      </c>
      <c r="V474" s="89">
        <v>400000</v>
      </c>
      <c r="W474" s="90">
        <v>164101.70000000001</v>
      </c>
      <c r="AB474" s="89">
        <v>400000</v>
      </c>
      <c r="AC474" s="90">
        <v>333757.7</v>
      </c>
    </row>
    <row r="475" spans="1:30" x14ac:dyDescent="0.25">
      <c r="A475" s="7">
        <v>468</v>
      </c>
      <c r="B475" s="9"/>
      <c r="C475" s="9"/>
      <c r="D475" s="9">
        <v>5660</v>
      </c>
      <c r="E475" s="9"/>
      <c r="F475" s="13" t="s">
        <v>283</v>
      </c>
      <c r="G475" s="13"/>
    </row>
    <row r="476" spans="1:30" x14ac:dyDescent="0.25">
      <c r="A476" s="7">
        <v>469</v>
      </c>
      <c r="B476" s="9"/>
      <c r="C476" s="9"/>
      <c r="D476" s="9">
        <v>5909</v>
      </c>
      <c r="E476" s="9"/>
      <c r="F476" s="13" t="s">
        <v>291</v>
      </c>
      <c r="G476" s="13"/>
    </row>
    <row r="477" spans="1:30" x14ac:dyDescent="0.25">
      <c r="A477" s="7">
        <v>470</v>
      </c>
      <c r="B477" s="9"/>
      <c r="C477" s="9"/>
      <c r="D477" s="9">
        <v>5499</v>
      </c>
      <c r="E477" s="9"/>
      <c r="F477" s="13" t="s">
        <v>292</v>
      </c>
      <c r="G477" s="13"/>
    </row>
    <row r="478" spans="1:30" x14ac:dyDescent="0.25">
      <c r="A478" s="7">
        <v>471</v>
      </c>
      <c r="B478" s="9"/>
      <c r="C478" s="9"/>
      <c r="F478" s="13" t="s">
        <v>293</v>
      </c>
      <c r="G478" s="13"/>
    </row>
    <row r="479" spans="1:30" x14ac:dyDescent="0.25">
      <c r="A479" s="7">
        <v>472</v>
      </c>
      <c r="B479" s="9"/>
      <c r="C479" s="9"/>
      <c r="F479" s="13" t="s">
        <v>294</v>
      </c>
      <c r="G479" s="13"/>
    </row>
    <row r="480" spans="1:30" ht="13.8" thickBot="1" x14ac:dyDescent="0.3">
      <c r="A480" s="7">
        <v>473</v>
      </c>
      <c r="B480" s="9"/>
      <c r="C480" s="9"/>
      <c r="F480" s="46" t="s">
        <v>295</v>
      </c>
      <c r="G480" s="46" t="s">
        <v>286</v>
      </c>
      <c r="H480" s="74">
        <f>SUM(H454,H472)-H474-H473-H471</f>
        <v>47185500</v>
      </c>
      <c r="I480" s="83">
        <f>SUM(I454,I472)-I474-I473-I471</f>
        <v>119200</v>
      </c>
      <c r="J480" s="83">
        <f>SUM(J454,J472)-J474-J473-J471</f>
        <v>886300</v>
      </c>
      <c r="K480" s="32">
        <f>SUM(K454,K472)-K474-K473-K471</f>
        <v>48191000</v>
      </c>
      <c r="L480" s="108">
        <f>SUM(L454,L472)-L474-L473-L471</f>
        <v>6084859.8699999992</v>
      </c>
      <c r="M480" s="14">
        <f t="shared" ref="M480" si="340">IF($K480=0,0,L480/$K480)</f>
        <v>0.12626548255898404</v>
      </c>
      <c r="N480" s="83">
        <f t="shared" ref="N480:S480" si="341">SUM(N454,N472)-N474-N473-N471</f>
        <v>23975200</v>
      </c>
      <c r="O480" s="83">
        <f t="shared" si="341"/>
        <v>1648000</v>
      </c>
      <c r="P480" s="83">
        <f t="shared" si="341"/>
        <v>1722100</v>
      </c>
      <c r="Q480" s="83">
        <f t="shared" si="341"/>
        <v>3663000</v>
      </c>
      <c r="R480" s="32">
        <f t="shared" si="341"/>
        <v>79217300</v>
      </c>
      <c r="S480" s="108">
        <f t="shared" si="341"/>
        <v>17509425.020000003</v>
      </c>
      <c r="T480" s="112">
        <f t="shared" ref="T480" si="342">IF($R480=0,0,S480/$R480)</f>
        <v>0.22103031812495508</v>
      </c>
      <c r="U480" s="83">
        <f t="shared" ref="U480:W480" si="343">SUM(U454,U472)-U474-U473-U471</f>
        <v>4217900</v>
      </c>
      <c r="V480" s="32">
        <f t="shared" si="343"/>
        <v>83435200</v>
      </c>
      <c r="W480" s="108">
        <f t="shared" si="343"/>
        <v>27889334.820000004</v>
      </c>
      <c r="X480" s="112">
        <f t="shared" ref="X480" si="344">IF($V480=0,0,W480/$V480)</f>
        <v>0.33426341424243011</v>
      </c>
      <c r="Y480" s="83">
        <f t="shared" ref="Y480:AC480" si="345">SUM(Y454,Y472)-Y474-Y473-Y471</f>
        <v>9000000</v>
      </c>
      <c r="Z480" s="83">
        <f t="shared" si="345"/>
        <v>2607300</v>
      </c>
      <c r="AA480" s="83">
        <f t="shared" si="345"/>
        <v>296400</v>
      </c>
      <c r="AB480" s="32">
        <f t="shared" si="345"/>
        <v>95338900</v>
      </c>
      <c r="AC480" s="108">
        <f t="shared" si="345"/>
        <v>53024488.329999991</v>
      </c>
      <c r="AD480" s="112">
        <f t="shared" ref="AD480" si="346">IF($AB480=0,0,AC480/$AB480)</f>
        <v>0.55616845096807277</v>
      </c>
    </row>
    <row r="481" spans="1:29" ht="14.4" thickTop="1" thickBot="1" x14ac:dyDescent="0.3">
      <c r="A481" s="7">
        <v>474</v>
      </c>
      <c r="B481" s="9"/>
      <c r="C481" s="9"/>
      <c r="F481" s="13" t="s">
        <v>296</v>
      </c>
      <c r="G481" s="13"/>
      <c r="H481" s="77">
        <f>-H480+H469</f>
        <v>0</v>
      </c>
      <c r="I481" s="85">
        <f>-I480+I469</f>
        <v>0</v>
      </c>
      <c r="J481" s="85">
        <f>-J480+J469</f>
        <v>0</v>
      </c>
      <c r="K481" s="47">
        <f>-K480+K469</f>
        <v>-27000</v>
      </c>
      <c r="L481" s="111">
        <f>-L480+L469</f>
        <v>1715421.0100000007</v>
      </c>
      <c r="N481" s="85">
        <f t="shared" ref="N481:S481" si="347">-N480+N469</f>
        <v>-17975200</v>
      </c>
      <c r="O481" s="85">
        <f t="shared" si="347"/>
        <v>0</v>
      </c>
      <c r="P481" s="85">
        <f t="shared" si="347"/>
        <v>18000</v>
      </c>
      <c r="Q481" s="85">
        <f t="shared" si="347"/>
        <v>-1283700</v>
      </c>
      <c r="R481" s="47">
        <f t="shared" si="347"/>
        <v>-19285900</v>
      </c>
      <c r="S481" s="111">
        <f t="shared" si="347"/>
        <v>12013363.899999995</v>
      </c>
      <c r="U481" s="85">
        <f t="shared" ref="U481" si="348">-U480+U469</f>
        <v>0</v>
      </c>
      <c r="V481" s="47">
        <f t="shared" ref="V481" si="349">-V480+V469</f>
        <v>-19285900</v>
      </c>
      <c r="W481" s="111">
        <f t="shared" ref="W481" si="350">-W480+W469</f>
        <v>20644122.859999988</v>
      </c>
      <c r="Y481" s="85">
        <f t="shared" ref="Y481:AC481" si="351">-Y480+Y469</f>
        <v>0</v>
      </c>
      <c r="Z481" s="85">
        <f t="shared" si="351"/>
        <v>0</v>
      </c>
      <c r="AA481" s="85">
        <f t="shared" si="351"/>
        <v>0</v>
      </c>
      <c r="AB481" s="47">
        <f t="shared" si="351"/>
        <v>-19285900</v>
      </c>
      <c r="AC481" s="111">
        <f t="shared" si="351"/>
        <v>27304641.240000002</v>
      </c>
    </row>
    <row r="482" spans="1:29" ht="13.8" thickTop="1" x14ac:dyDescent="0.25">
      <c r="A482" s="7"/>
    </row>
    <row r="483" spans="1:29" x14ac:dyDescent="0.25">
      <c r="A483" s="7"/>
    </row>
    <row r="484" spans="1:29" x14ac:dyDescent="0.25">
      <c r="A484" s="7"/>
    </row>
    <row r="485" spans="1:29" x14ac:dyDescent="0.25">
      <c r="A485" s="7"/>
      <c r="F485" s="48"/>
      <c r="G485" s="48"/>
    </row>
    <row r="486" spans="1:29" x14ac:dyDescent="0.25">
      <c r="A486" s="7"/>
    </row>
    <row r="487" spans="1:29" x14ac:dyDescent="0.25">
      <c r="A487" s="7"/>
    </row>
    <row r="488" spans="1:29" x14ac:dyDescent="0.25">
      <c r="A488" s="7"/>
    </row>
    <row r="489" spans="1:29" x14ac:dyDescent="0.25">
      <c r="A489" s="7"/>
    </row>
    <row r="490" spans="1:29" x14ac:dyDescent="0.25">
      <c r="A490" s="7"/>
    </row>
    <row r="491" spans="1:29" x14ac:dyDescent="0.25">
      <c r="A491" s="7"/>
      <c r="F491" s="49"/>
      <c r="G491" s="49"/>
    </row>
    <row r="492" spans="1:29" x14ac:dyDescent="0.25">
      <c r="A492" s="7"/>
    </row>
    <row r="493" spans="1:29" x14ac:dyDescent="0.25">
      <c r="A493" s="7"/>
    </row>
    <row r="494" spans="1:29" x14ac:dyDescent="0.25">
      <c r="A494" s="7"/>
      <c r="F494" s="49"/>
      <c r="G494" s="49"/>
    </row>
    <row r="495" spans="1:29" x14ac:dyDescent="0.25">
      <c r="A495" s="7"/>
    </row>
    <row r="496" spans="1:29" x14ac:dyDescent="0.25">
      <c r="A496" s="7"/>
    </row>
    <row r="497" spans="1:7" x14ac:dyDescent="0.25">
      <c r="A497" s="7"/>
    </row>
    <row r="498" spans="1:7" x14ac:dyDescent="0.25">
      <c r="A498" s="7"/>
      <c r="F498" s="49"/>
      <c r="G498" s="49"/>
    </row>
    <row r="499" spans="1:7" x14ac:dyDescent="0.25">
      <c r="A499" s="7"/>
    </row>
    <row r="500" spans="1:7" x14ac:dyDescent="0.25">
      <c r="A500" s="7"/>
    </row>
    <row r="501" spans="1:7" x14ac:dyDescent="0.25">
      <c r="A501" s="7"/>
    </row>
    <row r="502" spans="1:7" x14ac:dyDescent="0.25">
      <c r="A502" s="7"/>
    </row>
    <row r="503" spans="1:7" x14ac:dyDescent="0.25">
      <c r="A503" s="7"/>
    </row>
    <row r="504" spans="1:7" x14ac:dyDescent="0.25">
      <c r="A504" s="7"/>
    </row>
    <row r="505" spans="1:7" x14ac:dyDescent="0.25">
      <c r="A505" s="7"/>
    </row>
    <row r="506" spans="1:7" x14ac:dyDescent="0.25">
      <c r="A506" s="7"/>
    </row>
    <row r="507" spans="1:7" x14ac:dyDescent="0.25">
      <c r="A507" s="7"/>
    </row>
    <row r="508" spans="1:7" x14ac:dyDescent="0.25">
      <c r="A508" s="7"/>
    </row>
    <row r="509" spans="1:7" x14ac:dyDescent="0.25">
      <c r="A509" s="7"/>
    </row>
    <row r="510" spans="1:7" x14ac:dyDescent="0.25">
      <c r="A510" s="7"/>
    </row>
  </sheetData>
  <pageMargins left="0.31496062992125984" right="0.31496062992125984" top="0.78740157480314965" bottom="0.78740157480314965" header="0.31496062992125984" footer="0.31496062992125984"/>
  <pageSetup paperSize="9" scale="60" fitToWidth="7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Koubová Miroslava</cp:lastModifiedBy>
  <cp:lastPrinted>2024-02-05T15:49:08Z</cp:lastPrinted>
  <dcterms:created xsi:type="dcterms:W3CDTF">2022-10-31T10:21:32Z</dcterms:created>
  <dcterms:modified xsi:type="dcterms:W3CDTF">2024-02-08T14:45:31Z</dcterms:modified>
</cp:coreProperties>
</file>